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796" yWindow="63016" windowWidth="22800" windowHeight="16460" activeTab="3"/>
  </bookViews>
  <sheets>
    <sheet name="Summary" sheetId="1" r:id="rId1"/>
    <sheet name="Regional" sheetId="2" r:id="rId2"/>
    <sheet name="Neighborhood" sheetId="3" r:id="rId3"/>
    <sheet name="Site" sheetId="4" r:id="rId4"/>
    <sheet name="Definitions" sheetId="5" r:id="rId5"/>
    <sheet name="Economics" sheetId="6" r:id="rId6"/>
  </sheets>
  <definedNames>
    <definedName name="_xlnm.Print_Area" localSheetId="4">'Definitions'!$A$1:$C$38</definedName>
    <definedName name="_xlnm.Print_Area" localSheetId="5">'Economics'!$B$1:$I$34</definedName>
    <definedName name="_xlnm.Print_Area" localSheetId="2">'Neighborhood'!$B$2:$G$74</definedName>
    <definedName name="_xlnm.Print_Area" localSheetId="1">'Regional'!$B$2:$G$35</definedName>
    <definedName name="_xlnm.Print_Area" localSheetId="3">'Site'!$B$2:$H$72</definedName>
    <definedName name="_xlnm.Print_Area" localSheetId="0">'Summary'!$B$2:$C$31</definedName>
    <definedName name="_xlnm.Print_Titles" localSheetId="4">'Definitions'!$1:$1</definedName>
  </definedNames>
  <calcPr fullCalcOnLoad="1"/>
</workbook>
</file>

<file path=xl/comments6.xml><?xml version="1.0" encoding="utf-8"?>
<comments xmlns="http://schemas.openxmlformats.org/spreadsheetml/2006/main">
  <authors>
    <author>Lisa Hallo</author>
  </authors>
  <commentList>
    <comment ref="L21" authorId="0">
      <text>
        <r>
          <rPr>
            <b/>
            <sz val="9"/>
            <rFont val="Calibri"/>
            <family val="2"/>
          </rPr>
          <t>Lisa Hallo:</t>
        </r>
        <r>
          <rPr>
            <sz val="9"/>
            <rFont val="Calibri"/>
            <family val="2"/>
          </rPr>
          <t xml:space="preserve">
Changed from $12,575 to $12629.00 because that was Standardized Cost in Econ paper. </t>
        </r>
      </text>
    </comment>
    <comment ref="L22" authorId="0">
      <text>
        <r>
          <rPr>
            <b/>
            <sz val="9"/>
            <rFont val="Calibri"/>
            <family val="2"/>
          </rPr>
          <t>Lisa Hallo:</t>
        </r>
        <r>
          <rPr>
            <sz val="9"/>
            <rFont val="Calibri"/>
            <family val="2"/>
          </rPr>
          <t xml:space="preserve">
changed from $16,215.04 to $16270.40 as indicated Standardized Cost in Econ paper. </t>
        </r>
      </text>
    </comment>
    <comment ref="L16" authorId="0">
      <text>
        <r>
          <rPr>
            <b/>
            <sz val="9"/>
            <rFont val="Calibri"/>
            <family val="2"/>
          </rPr>
          <t>Lisa Hallo:</t>
        </r>
        <r>
          <rPr>
            <sz val="9"/>
            <rFont val="Calibri"/>
            <family val="2"/>
          </rPr>
          <t xml:space="preserve">
Changed from $3,119.95 to $3,121.55 as indicated Standardized Cost in Econ paper. </t>
        </r>
      </text>
    </comment>
    <comment ref="L20" authorId="0">
      <text>
        <r>
          <rPr>
            <b/>
            <sz val="9"/>
            <rFont val="Calibri"/>
            <family val="2"/>
          </rPr>
          <t>Lisa Hallo:</t>
        </r>
        <r>
          <rPr>
            <sz val="9"/>
            <rFont val="Calibri"/>
            <family val="2"/>
          </rPr>
          <t xml:space="preserve">
Changed from $279.38 to $279.70 as indicated Standardized Cost in Econ paper. </t>
        </r>
      </text>
    </comment>
    <comment ref="L19" authorId="0">
      <text>
        <r>
          <rPr>
            <b/>
            <sz val="9"/>
            <rFont val="Calibri"/>
            <family val="2"/>
          </rPr>
          <t>Lisa Hallo:</t>
        </r>
        <r>
          <rPr>
            <sz val="9"/>
            <rFont val="Calibri"/>
            <family val="2"/>
          </rPr>
          <t xml:space="preserve">
Changed from $6.08 to $6.40 as indicated Standardized cost rate in econ paper. </t>
        </r>
      </text>
    </comment>
    <comment ref="L23" authorId="0">
      <text>
        <r>
          <rPr>
            <b/>
            <sz val="9"/>
            <rFont val="Calibri"/>
            <family val="2"/>
          </rPr>
          <t>Lisa Hallo:</t>
        </r>
        <r>
          <rPr>
            <sz val="9"/>
            <rFont val="Calibri"/>
            <family val="2"/>
          </rPr>
          <t xml:space="preserve">
Changed from $8008.95 to $8015 as indicated Standardized cost rate in Econ paper. </t>
        </r>
      </text>
    </comment>
    <comment ref="L26" authorId="0">
      <text>
        <r>
          <rPr>
            <b/>
            <sz val="9"/>
            <rFont val="Calibri"/>
            <family val="2"/>
          </rPr>
          <t>Lisa Hallo:</t>
        </r>
        <r>
          <rPr>
            <sz val="9"/>
            <rFont val="Calibri"/>
            <family val="2"/>
          </rPr>
          <t xml:space="preserve">
Did not need to change. </t>
        </r>
      </text>
    </comment>
    <comment ref="L18" authorId="0">
      <text>
        <r>
          <rPr>
            <b/>
            <sz val="9"/>
            <rFont val="Calibri"/>
            <family val="2"/>
          </rPr>
          <t>Lisa Hallo:</t>
        </r>
        <r>
          <rPr>
            <sz val="9"/>
            <rFont val="Calibri"/>
            <family val="2"/>
          </rPr>
          <t xml:space="preserve">
Changed from $554.34 to $554.89 as indicated Standardized Cost per 100ft2 or 567.05 ft3. </t>
        </r>
      </text>
    </comment>
    <comment ref="L24" authorId="0">
      <text>
        <r>
          <rPr>
            <b/>
            <sz val="9"/>
            <rFont val="Calibri"/>
            <family val="2"/>
          </rPr>
          <t>Lisa Hallo:</t>
        </r>
        <r>
          <rPr>
            <sz val="9"/>
            <rFont val="Calibri"/>
            <family val="2"/>
          </rPr>
          <t xml:space="preserve">
Did not need to update</t>
        </r>
      </text>
    </comment>
    <comment ref="L27" authorId="0">
      <text>
        <r>
          <rPr>
            <b/>
            <sz val="9"/>
            <rFont val="Calibri"/>
            <family val="2"/>
          </rPr>
          <t>Lisa Hallo:</t>
        </r>
        <r>
          <rPr>
            <sz val="9"/>
            <rFont val="Calibri"/>
            <family val="2"/>
          </rPr>
          <t xml:space="preserve">
Changed from $200 to $193 as indicated in Econ report. </t>
        </r>
      </text>
    </comment>
    <comment ref="L25" authorId="0">
      <text>
        <r>
          <rPr>
            <b/>
            <sz val="9"/>
            <rFont val="Calibri"/>
            <family val="2"/>
          </rPr>
          <t>Lisa Hallo:</t>
        </r>
        <r>
          <rPr>
            <sz val="9"/>
            <rFont val="Calibri"/>
            <family val="2"/>
          </rPr>
          <t xml:space="preserve">
Changed from $3,490.78 to $3,489.92 as indicated Standardized cost in econ report. </t>
        </r>
      </text>
    </comment>
    <comment ref="M16" authorId="0">
      <text>
        <r>
          <rPr>
            <b/>
            <sz val="9"/>
            <rFont val="Calibri"/>
            <family val="2"/>
          </rPr>
          <t>Lisa Hallo:</t>
        </r>
        <r>
          <rPr>
            <sz val="9"/>
            <rFont val="Calibri"/>
            <family val="2"/>
          </rPr>
          <t xml:space="preserve">
Changed from 500  (ft2) to 3000 ft3. </t>
        </r>
      </text>
    </comment>
    <comment ref="M20" authorId="0">
      <text>
        <r>
          <rPr>
            <b/>
            <sz val="9"/>
            <rFont val="Calibri"/>
            <family val="2"/>
          </rPr>
          <t>Lisa Hallo:</t>
        </r>
        <r>
          <rPr>
            <sz val="9"/>
            <rFont val="Calibri"/>
            <family val="2"/>
          </rPr>
          <t xml:space="preserve">
Changed from 100 ft2 to 150 ft3. </t>
        </r>
      </text>
    </comment>
    <comment ref="M23" authorId="0">
      <text>
        <r>
          <rPr>
            <b/>
            <sz val="9"/>
            <rFont val="Calibri"/>
            <family val="2"/>
          </rPr>
          <t>Lisa Hallo:</t>
        </r>
        <r>
          <rPr>
            <sz val="9"/>
            <rFont val="Calibri"/>
            <family val="2"/>
          </rPr>
          <t xml:space="preserve">
Changed from 1000 ft2 to 1140 ft3</t>
        </r>
      </text>
    </comment>
    <comment ref="M26" authorId="0">
      <text>
        <r>
          <rPr>
            <b/>
            <sz val="9"/>
            <rFont val="Calibri"/>
            <family val="2"/>
          </rPr>
          <t>Lisa Hallo:</t>
        </r>
        <r>
          <rPr>
            <sz val="9"/>
            <rFont val="Calibri"/>
            <family val="2"/>
          </rPr>
          <t xml:space="preserve">
Changed from 100ft2 to 33.3 ft3. </t>
        </r>
      </text>
    </comment>
    <comment ref="M18" authorId="0">
      <text>
        <r>
          <rPr>
            <b/>
            <sz val="9"/>
            <rFont val="Calibri"/>
            <family val="2"/>
          </rPr>
          <t>Lisa Hallo:</t>
        </r>
        <r>
          <rPr>
            <sz val="9"/>
            <rFont val="Calibri"/>
            <family val="2"/>
          </rPr>
          <t xml:space="preserve">
Changed from 100 ft2 to 567.05 ft3. </t>
        </r>
      </text>
    </comment>
    <comment ref="M24" authorId="0">
      <text>
        <r>
          <rPr>
            <b/>
            <sz val="9"/>
            <rFont val="Calibri"/>
            <family val="2"/>
          </rPr>
          <t>Lisa Hallo:</t>
        </r>
        <r>
          <rPr>
            <sz val="9"/>
            <rFont val="Calibri"/>
            <family val="2"/>
          </rPr>
          <t xml:space="preserve">
Changed from 100 ft2 to 50 ft3. </t>
        </r>
      </text>
    </comment>
    <comment ref="M25" authorId="0">
      <text>
        <r>
          <rPr>
            <b/>
            <sz val="9"/>
            <rFont val="Calibri"/>
            <family val="2"/>
          </rPr>
          <t>Lisa Hallo:</t>
        </r>
        <r>
          <rPr>
            <sz val="9"/>
            <rFont val="Calibri"/>
            <family val="2"/>
          </rPr>
          <t xml:space="preserve">
Changed from 100 ft2 to 290 ft3. </t>
        </r>
      </text>
    </comment>
    <comment ref="M22" authorId="0">
      <text>
        <r>
          <rPr>
            <b/>
            <sz val="9"/>
            <rFont val="Calibri"/>
            <family val="2"/>
          </rPr>
          <t>Lisa Hallo:</t>
        </r>
        <r>
          <rPr>
            <sz val="9"/>
            <rFont val="Calibri"/>
            <family val="2"/>
          </rPr>
          <t xml:space="preserve">
Changed from .25 acre surface to 54,450 ft3</t>
        </r>
      </text>
    </comment>
    <comment ref="M21" authorId="0">
      <text>
        <r>
          <rPr>
            <b/>
            <sz val="9"/>
            <rFont val="Calibri"/>
            <family val="2"/>
          </rPr>
          <t>Lisa Hallo:</t>
        </r>
        <r>
          <rPr>
            <sz val="9"/>
            <rFont val="Calibri"/>
            <family val="2"/>
          </rPr>
          <t xml:space="preserve">
Changed from .25 acre surface to 43560 ft3. </t>
        </r>
      </text>
    </comment>
  </commentList>
</comments>
</file>

<file path=xl/sharedStrings.xml><?xml version="1.0" encoding="utf-8"?>
<sst xmlns="http://schemas.openxmlformats.org/spreadsheetml/2006/main" count="494" uniqueCount="461">
  <si>
    <t>Not applicable/ no maintenance plan exists for stormwater BMPs (0 points)</t>
  </si>
  <si>
    <t>Individual homeowners (2 points)</t>
  </si>
  <si>
    <t>Homeowners Association, with maintenance occuring on a yearly basis (4 points)</t>
  </si>
  <si>
    <t>Contracted party, with a minimum five-year agreement (6 points)</t>
  </si>
  <si>
    <r>
      <rPr>
        <b/>
        <sz val="13"/>
        <color indexed="8"/>
        <rFont val="Calibri"/>
        <family val="2"/>
      </rPr>
      <t>%</t>
    </r>
    <r>
      <rPr>
        <b/>
        <sz val="11"/>
        <color indexed="8"/>
        <rFont val="Calibri"/>
        <family val="2"/>
      </rPr>
      <t xml:space="preserve"> </t>
    </r>
    <r>
      <rPr>
        <sz val="11"/>
        <color indexed="8"/>
        <rFont val="Calibri"/>
        <family val="2"/>
      </rPr>
      <t>of the project is impervious</t>
    </r>
  </si>
  <si>
    <t>No soils investigation performed</t>
  </si>
  <si>
    <r>
      <rPr>
        <b/>
        <sz val="13"/>
        <rFont val="Calibri"/>
        <family val="2"/>
      </rPr>
      <t>%</t>
    </r>
    <r>
      <rPr>
        <b/>
        <sz val="11"/>
        <rFont val="Calibri"/>
        <family val="2"/>
      </rPr>
      <t xml:space="preserve"> </t>
    </r>
    <r>
      <rPr>
        <sz val="11"/>
        <rFont val="Calibri"/>
        <family val="2"/>
      </rPr>
      <t xml:space="preserve">of impervious area drains through landscaping or </t>
    </r>
    <r>
      <rPr>
        <b/>
        <sz val="11"/>
        <color indexed="62"/>
        <rFont val="Calibri"/>
        <family val="2"/>
      </rPr>
      <t>infiltration practices</t>
    </r>
  </si>
  <si>
    <r>
      <t xml:space="preserve">% </t>
    </r>
    <r>
      <rPr>
        <sz val="11"/>
        <rFont val="Calibri"/>
        <family val="2"/>
      </rPr>
      <t>(May use anticipated IDEAL results for initial preliminary approval. Official IDEAL results will be used for final score confirmation.)</t>
    </r>
  </si>
  <si>
    <t>County or municipality on an as-needed basis (8 points)</t>
  </si>
  <si>
    <t>County or municipality as part of day-to-day operations (10 points)</t>
  </si>
  <si>
    <r>
      <t xml:space="preserve">Project builds structures in the </t>
    </r>
    <r>
      <rPr>
        <b/>
        <sz val="11"/>
        <color indexed="62"/>
        <rFont val="Calibri"/>
        <family val="2"/>
      </rPr>
      <t>floodplain</t>
    </r>
    <r>
      <rPr>
        <sz val="11"/>
        <color indexed="8"/>
        <rFont val="Calibri"/>
        <family val="2"/>
      </rPr>
      <t xml:space="preserve"> (0 points).</t>
    </r>
  </si>
  <si>
    <t>buffer</t>
  </si>
  <si>
    <t>Project is located along a planned greenway route, and dedicates an easement for a future public access greenway (3 points).</t>
  </si>
  <si>
    <r>
      <t xml:space="preserve">Project maintains a minimum 75' buffer for </t>
    </r>
    <r>
      <rPr>
        <sz val="11"/>
        <rFont val="Calibri"/>
        <family val="2"/>
      </rPr>
      <t>known or identified</t>
    </r>
    <r>
      <rPr>
        <sz val="11"/>
        <color indexed="8"/>
        <rFont val="Calibri"/>
        <family val="2"/>
      </rPr>
      <t xml:space="preserve"> </t>
    </r>
    <r>
      <rPr>
        <b/>
        <sz val="11"/>
        <color indexed="62"/>
        <rFont val="Calibri"/>
        <family val="2"/>
      </rPr>
      <t>wetlands</t>
    </r>
    <r>
      <rPr>
        <sz val="11"/>
        <color indexed="8"/>
        <rFont val="Calibri"/>
        <family val="2"/>
      </rPr>
      <t xml:space="preserve"> and/or </t>
    </r>
    <r>
      <rPr>
        <b/>
        <sz val="11"/>
        <color indexed="62"/>
        <rFont val="Calibri"/>
        <family val="2"/>
      </rPr>
      <t>waters of the U.S.</t>
    </r>
    <r>
      <rPr>
        <sz val="11"/>
        <color indexed="8"/>
        <rFont val="Calibri"/>
        <family val="2"/>
      </rPr>
      <t xml:space="preserve"> (5 points)</t>
    </r>
  </si>
  <si>
    <r>
      <t xml:space="preserve">No </t>
    </r>
    <r>
      <rPr>
        <b/>
        <sz val="11"/>
        <color indexed="62"/>
        <rFont val="Calibri"/>
        <family val="2"/>
      </rPr>
      <t>wetlands</t>
    </r>
    <r>
      <rPr>
        <sz val="11"/>
        <color indexed="8"/>
        <rFont val="Calibri"/>
        <family val="2"/>
      </rPr>
      <t xml:space="preserve"> or </t>
    </r>
    <r>
      <rPr>
        <b/>
        <sz val="11"/>
        <color indexed="62"/>
        <rFont val="Calibri"/>
        <family val="2"/>
      </rPr>
      <t>waters of the U.S.</t>
    </r>
    <r>
      <rPr>
        <sz val="11"/>
        <color indexed="8"/>
        <rFont val="Calibri"/>
        <family val="2"/>
      </rPr>
      <t xml:space="preserve"> are located on the project site (5 points).</t>
    </r>
  </si>
  <si>
    <t>Participation Fee Calculation</t>
  </si>
  <si>
    <t>Allowable residential lots with program bonus</t>
  </si>
  <si>
    <t>Developable Acres on Site</t>
  </si>
  <si>
    <t>Effective Participation Fee</t>
  </si>
  <si>
    <t>18. Detention Factor (15 possible points)</t>
  </si>
  <si>
    <t>At least 50% of the project has been previously developed</t>
  </si>
  <si>
    <r>
      <rPr>
        <b/>
        <sz val="13"/>
        <color indexed="8"/>
        <rFont val="Calibri"/>
        <family val="2"/>
      </rPr>
      <t>%</t>
    </r>
    <r>
      <rPr>
        <sz val="11"/>
        <color indexed="8"/>
        <rFont val="Calibri"/>
        <family val="2"/>
      </rPr>
      <t xml:space="preserve"> of the site is maintained in </t>
    </r>
    <r>
      <rPr>
        <b/>
        <sz val="11"/>
        <color indexed="62"/>
        <rFont val="Calibri"/>
        <family val="2"/>
      </rPr>
      <t>natural cover</t>
    </r>
  </si>
  <si>
    <r>
      <rPr>
        <b/>
        <sz val="13"/>
        <rFont val="Calibri"/>
        <family val="2"/>
      </rPr>
      <t>lbs</t>
    </r>
    <r>
      <rPr>
        <sz val="11"/>
        <rFont val="Calibri"/>
        <family val="2"/>
      </rPr>
      <t xml:space="preserve"> of Nitrogen applied per 1,000 ft</t>
    </r>
    <r>
      <rPr>
        <vertAlign val="superscript"/>
        <sz val="11"/>
        <rFont val="Calibri"/>
        <family val="2"/>
      </rPr>
      <t xml:space="preserve">2 </t>
    </r>
    <r>
      <rPr>
        <sz val="11"/>
        <rFont val="Calibri"/>
        <family val="2"/>
      </rPr>
      <t>of landscaping, no more than once per year (If selected plant species do not require Nitrogen fertilizer, select 0 lbs.)</t>
    </r>
  </si>
  <si>
    <t>Wet ponds contain a perimeter fence</t>
  </si>
  <si>
    <t>Wet ponds contain a native plants buffer</t>
  </si>
  <si>
    <t>All houses are on sanitary sewer system</t>
  </si>
  <si>
    <t>Natural cover is defined as area that is designated to remain in undeveloped condition in perpetuity and is not paved, built upon or otherwise disturbed in any way during the construction process. It will generally be covered with trees, shrubs, undergrowth and ground story so that it will be in good hydrologic condition.  Areas designated as natural cover should remain as natural cover in perpetuity and should NOT be mowed. It may have previously been pasture but is no longer grazed, mowed or and is not managed for cultivation, timber, or landscaping.</t>
  </si>
  <si>
    <t>Areas that have been designated as Flood Hazard Areas as mapped by the Department of Homeland Security - FEMA, National Flood Insurance Program; or an area as identified by the Greenville County Flood Damage Prevention Ordinance.</t>
  </si>
  <si>
    <t>No measures for erosion prevention or sediment control are applicable</t>
  </si>
  <si>
    <t>Good ground cover (&gt;70% vegetative or mulch coverage)</t>
  </si>
  <si>
    <t>Very good ground cover (&gt;80% vegetative or mulch coverage)</t>
  </si>
  <si>
    <t>Excellent ground cover (&gt;90% vegetative or mulch coverage)</t>
  </si>
  <si>
    <t>A minimum 30-foot flow-direction vegetative buffer protects drainage inlets</t>
  </si>
  <si>
    <t>No measures for nitrogen control are applicable</t>
  </si>
  <si>
    <t>Runoff flows through at least 30 ft of established grass, sod, or landscaping with mulch prior to reaching pipes or storm sewers</t>
  </si>
  <si>
    <t>Runoff flows through at least 30 ft of established grass, sod, or landscaping with mulch prior to reaching pipes or storm sewers</t>
  </si>
  <si>
    <t>Site does not contain wet ponds</t>
  </si>
  <si>
    <t>General Information</t>
  </si>
  <si>
    <t>Average Lot Price Justification (Provide a brief narrative on the development and target market)</t>
  </si>
  <si>
    <r>
      <t xml:space="preserve">Project does not contain any </t>
    </r>
    <r>
      <rPr>
        <b/>
        <sz val="11"/>
        <color indexed="62"/>
        <rFont val="Calibri"/>
        <family val="2"/>
      </rPr>
      <t>floodplain</t>
    </r>
    <r>
      <rPr>
        <sz val="11"/>
        <color indexed="8"/>
        <rFont val="Calibri"/>
        <family val="2"/>
      </rPr>
      <t xml:space="preserve"> areas (5 points).</t>
    </r>
  </si>
  <si>
    <t xml:space="preserve">User should fill in all cells highlighted the color of this cell. </t>
  </si>
  <si>
    <t>floodplain</t>
  </si>
  <si>
    <t>Greenville County Flood Damage Prevention Ordinance</t>
  </si>
  <si>
    <t>Project has continuous sidewalks or pedestrian pathway leading to a transit stop (5 points).</t>
  </si>
  <si>
    <t>19. Infiltration Factor (10 possible points)</t>
  </si>
  <si>
    <t>Principle resident front entrances face public streets, plazas, or parks.  Front entrances cannot face parking lots (1 point).</t>
  </si>
  <si>
    <t>commercial establishments</t>
  </si>
  <si>
    <t>connectivity of a neighborhood</t>
  </si>
  <si>
    <t>connectivity Index of a subdivision</t>
  </si>
  <si>
    <t>disturbed area or developed area</t>
  </si>
  <si>
    <t>intermittent streams</t>
  </si>
  <si>
    <t>infill</t>
  </si>
  <si>
    <r>
      <t xml:space="preserve">The number of </t>
    </r>
    <r>
      <rPr>
        <b/>
        <sz val="11"/>
        <rFont val="Calibri"/>
        <family val="2"/>
      </rPr>
      <t>publicly accessible</t>
    </r>
    <r>
      <rPr>
        <sz val="11"/>
        <rFont val="Calibri"/>
        <family val="2"/>
      </rPr>
      <t xml:space="preserve"> street intersections per area, including intersections of streets with dedicated alleys and transit ROWs, and of intersections of streets with non-motorized ROWs.  If one must both enter and exit an area through the same intersection, such an intersection and any intersections beyond that point are not counted; intersections leading only to cul-de-sacs are not counted.  The square mileage shall exclude water bodies, parks over a 1/2-acre, public facility campuses, airports, rail yards, slopes over 15%, and areas non-buildable under codified law or the rating system.  </t>
    </r>
  </si>
  <si>
    <t>Project requires all homes to be certified by LEED, Earthcraft or Energy Star (2 points).</t>
  </si>
  <si>
    <r>
      <t>Directions: Input the average residential lot price.  The Effective Participation Fee will be automatically adjusted depending on DMT Score.
*</t>
    </r>
    <r>
      <rPr>
        <sz val="12"/>
        <color indexed="9"/>
        <rFont val="Calibri"/>
        <family val="2"/>
      </rPr>
      <t xml:space="preserve">The participation fee is a function of the DMT score and the average value of the maximum additional residential lots that can be developed with the density bonus. </t>
    </r>
  </si>
  <si>
    <t>Average Residential Lot Price ($/lot)</t>
  </si>
  <si>
    <t xml:space="preserve">    Reduction based on DMT Score</t>
  </si>
  <si>
    <r>
      <t xml:space="preserve">Amount Paid 
</t>
    </r>
    <r>
      <rPr>
        <sz val="11"/>
        <color indexed="9"/>
        <rFont val="Calibri"/>
        <family val="2"/>
      </rPr>
      <t>(County Staff should complete upon receiving payment)</t>
    </r>
  </si>
  <si>
    <t>From collector roads (if ≤30 feet, then 2 points).</t>
  </si>
  <si>
    <t>adjacent/ adjoining street</t>
  </si>
  <si>
    <t>brownfield</t>
  </si>
  <si>
    <t>Project requires all homes to be certified by EPA WaterSense (3 points).</t>
  </si>
  <si>
    <t xml:space="preserve">Public Law 107-118 (H.R. 2869) - "Small Business Liability Relief and Brownfields Revitalization Act" </t>
  </si>
  <si>
    <t>USDA-NRCS National Engineering Handbook, Chapter 9 - Hydrologic Soil-Cover Complexes</t>
  </si>
  <si>
    <t xml:space="preserve">Between 1/4 mile and 1/2 mile (4 points). </t>
  </si>
  <si>
    <t>Less than 1/4 mile (6 points).</t>
  </si>
  <si>
    <t>Between 1/2 mile and 3/4 mile (2 points).</t>
  </si>
  <si>
    <t xml:space="preserve">All roads within project are open to the public, and the project does not have a perimeter fence (4 points). </t>
  </si>
  <si>
    <r>
      <rPr>
        <b/>
        <sz val="11"/>
        <color indexed="8"/>
        <rFont val="Calibri"/>
        <family val="2"/>
      </rPr>
      <t>feet</t>
    </r>
    <r>
      <rPr>
        <sz val="11"/>
        <color indexed="8"/>
        <rFont val="Calibri"/>
        <family val="2"/>
      </rPr>
      <t xml:space="preserve"> (5 points if ≤ 600')</t>
    </r>
  </si>
  <si>
    <r>
      <t xml:space="preserve">The area within a 1/2-mile radius of the project contains at least 75 street </t>
    </r>
    <r>
      <rPr>
        <b/>
        <sz val="11"/>
        <color indexed="62"/>
        <rFont val="Calibri"/>
        <family val="2"/>
      </rPr>
      <t>intersections</t>
    </r>
    <r>
      <rPr>
        <sz val="11"/>
        <color indexed="8"/>
        <rFont val="Calibri"/>
        <family val="2"/>
      </rPr>
      <t xml:space="preserve"> (12 points)</t>
    </r>
  </si>
  <si>
    <t>N/A - Project does not contain residential access or subcollector roads (0 points).</t>
  </si>
  <si>
    <t xml:space="preserve">N/A - Project does not contain collector roads (0 points). </t>
  </si>
  <si>
    <t>natural cover</t>
  </si>
  <si>
    <r>
      <t xml:space="preserve">At least 75% of the project perimeters border </t>
    </r>
    <r>
      <rPr>
        <b/>
        <sz val="11"/>
        <color indexed="62"/>
        <rFont val="Calibri"/>
        <family val="2"/>
      </rPr>
      <t xml:space="preserve">previously-developed </t>
    </r>
    <r>
      <rPr>
        <sz val="11"/>
        <color indexed="8"/>
        <rFont val="Calibri"/>
        <family val="2"/>
      </rPr>
      <t>parcels (not including streets) (12 points).</t>
    </r>
  </si>
  <si>
    <t>40 CFR 230.3(s)</t>
  </si>
  <si>
    <r>
      <t xml:space="preserve">At least 75% of the land area within a half-mile radius of the project have been </t>
    </r>
    <r>
      <rPr>
        <b/>
        <sz val="11"/>
        <color indexed="62"/>
        <rFont val="Calibri"/>
        <family val="2"/>
      </rPr>
      <t>previously-developed</t>
    </r>
    <r>
      <rPr>
        <sz val="11"/>
        <color indexed="8"/>
        <rFont val="Calibri"/>
        <family val="2"/>
      </rPr>
      <t xml:space="preserve"> (12 points).</t>
    </r>
  </si>
  <si>
    <r>
      <t xml:space="preserve">Project is located within a half-mile (walking or route distance) from </t>
    </r>
    <r>
      <rPr>
        <b/>
        <sz val="11"/>
        <color indexed="62"/>
        <rFont val="Calibri"/>
        <family val="2"/>
      </rPr>
      <t>planned transit route</t>
    </r>
    <r>
      <rPr>
        <sz val="11"/>
        <color indexed="8"/>
        <rFont val="Calibri"/>
        <family val="2"/>
      </rPr>
      <t xml:space="preserve">.  </t>
    </r>
    <r>
      <rPr>
        <i/>
        <sz val="11"/>
        <color indexed="8"/>
        <rFont val="Calibri"/>
        <family val="2"/>
      </rPr>
      <t xml:space="preserve">See instruction manual for details </t>
    </r>
    <r>
      <rPr>
        <sz val="11"/>
        <color indexed="8"/>
        <rFont val="Calibri"/>
        <family val="2"/>
      </rPr>
      <t>(4 points).</t>
    </r>
  </si>
  <si>
    <t>Less than 1/4 mile (12 points).</t>
  </si>
  <si>
    <t>Between 1/4 mile and 1/2 mile (8 points).</t>
  </si>
  <si>
    <t xml:space="preserve">Between 1/2 mile and 3/4 mile (4 points). </t>
  </si>
  <si>
    <t>More than 3/4 mile (0 points).</t>
  </si>
  <si>
    <t>21. Nitrogen Factor (10 possible points)</t>
  </si>
  <si>
    <t>23. Bacteria Factor (5 possible points)</t>
  </si>
  <si>
    <t>24. Maintenance Factor</t>
  </si>
  <si>
    <t>Project sidewalks are separated from the street by a planting strip at least 4 feet wide (1 point).</t>
  </si>
  <si>
    <t>15. Redevelopment Sites (40 points)</t>
  </si>
  <si>
    <t xml:space="preserve">Project is built into existing street network and creates no new streets (10 points).  </t>
  </si>
  <si>
    <t>16. Runoff Factor (15 possible points)</t>
  </si>
  <si>
    <t>17. Soil Factor (10 possible points)</t>
  </si>
  <si>
    <t>Project creates community spaces such as a public plaza, community garden, recreation area, etc. (3 points).</t>
  </si>
  <si>
    <t xml:space="preserve">Ratio = </t>
  </si>
  <si>
    <r>
      <t xml:space="preserve">Indicate walking or route distance from project to nearest existing </t>
    </r>
    <r>
      <rPr>
        <b/>
        <sz val="11"/>
        <color indexed="62"/>
        <rFont val="Calibri"/>
        <family val="2"/>
      </rPr>
      <t>transit route</t>
    </r>
    <r>
      <rPr>
        <sz val="11"/>
        <color indexed="8"/>
        <rFont val="Calibri"/>
        <family val="2"/>
      </rPr>
      <t>.</t>
    </r>
  </si>
  <si>
    <r>
      <rPr>
        <b/>
        <sz val="11"/>
        <color indexed="62"/>
        <rFont val="Calibri"/>
        <family val="2"/>
      </rPr>
      <t>Intersections</t>
    </r>
    <r>
      <rPr>
        <sz val="11"/>
        <color indexed="8"/>
        <rFont val="Calibri"/>
        <family val="2"/>
      </rPr>
      <t xml:space="preserve"> within a half-mile radius (17-point maximum and are awarded starting at 50 intersections).</t>
    </r>
  </si>
  <si>
    <t>Project requires homes to have a greywater recycling system (2 points).</t>
  </si>
  <si>
    <t>node</t>
  </si>
  <si>
    <t>measures for nitrogen control</t>
  </si>
  <si>
    <t>Select the percentage of total site impervious area (rooftops, pavement, etc.) that drains as overland flow through at least 30 feet of established grass, sod, or mulched landscaping; or through infiltration practices.  Mulch must represent at least 90% surface cover.</t>
  </si>
  <si>
    <t>Total Allowable Residential Lots - Currently</t>
  </si>
  <si>
    <t>Allowable density with program bonus (units/acre)</t>
  </si>
  <si>
    <t>Project reuses and/or rehabilitates existing structures on the property (2 points).</t>
  </si>
  <si>
    <t>Project has no long-term irrigation requirements (4 points).</t>
  </si>
  <si>
    <t>Project contains common-area bicycle racks or lockers (1 point).</t>
  </si>
  <si>
    <r>
      <t xml:space="preserve">Project is located within a half-mile (walking or route distance) from planned greenway route.  </t>
    </r>
    <r>
      <rPr>
        <i/>
        <sz val="11"/>
        <color indexed="8"/>
        <rFont val="Calibri"/>
        <family val="2"/>
      </rPr>
      <t>See instruction manual for details</t>
    </r>
    <r>
      <rPr>
        <sz val="11"/>
        <color indexed="8"/>
        <rFont val="Calibri"/>
        <family val="2"/>
      </rPr>
      <t xml:space="preserve"> (4 points).</t>
    </r>
  </si>
  <si>
    <t xml:space="preserve">Indicate IDEAL Sediment TE </t>
  </si>
  <si>
    <t>20. Sediment Factor (9 possible points)</t>
  </si>
  <si>
    <r>
      <t xml:space="preserve">Cul-de-sacs are not used, or are used </t>
    </r>
    <r>
      <rPr>
        <b/>
        <sz val="11"/>
        <color indexed="8"/>
        <rFont val="Calibri"/>
        <family val="2"/>
      </rPr>
      <t>only</t>
    </r>
    <r>
      <rPr>
        <sz val="11"/>
        <color indexed="8"/>
        <rFont val="Calibri"/>
        <family val="2"/>
      </rPr>
      <t xml:space="preserve"> in areas where obstructions exist (4 points).</t>
    </r>
  </si>
  <si>
    <r>
      <t xml:space="preserve">Indicate the percentage of the total site area draining through established </t>
    </r>
    <r>
      <rPr>
        <b/>
        <sz val="11"/>
        <color indexed="62"/>
        <rFont val="Calibri"/>
        <family val="2"/>
      </rPr>
      <t>infiltration practices</t>
    </r>
    <r>
      <rPr>
        <sz val="11"/>
        <rFont val="Calibri"/>
        <family val="2"/>
      </rPr>
      <t>, which can include: infiltration trenches, enhanced bioswales, bioswales, buffer strips, bioretention cells, rain gardens, green roofs,  sand filters, pervious or porous pavements, rainwater catchment system, or natural cover.</t>
    </r>
  </si>
  <si>
    <t>Project provides one street tree per residential lot (4 points).</t>
  </si>
  <si>
    <r>
      <rPr>
        <b/>
        <sz val="11"/>
        <color indexed="62"/>
        <rFont val="Calibri"/>
        <family val="2"/>
      </rPr>
      <t>Links</t>
    </r>
    <r>
      <rPr>
        <sz val="11"/>
        <color indexed="8"/>
        <rFont val="Calibri"/>
        <family val="2"/>
      </rPr>
      <t>: Street, walkway, alley and pathway segments between nodes</t>
    </r>
  </si>
  <si>
    <t>transit route</t>
  </si>
  <si>
    <t>A node where three or more continuous links, or streets, meet.  Nodes that serve as the only entrance or exit to an area or neighborhood do not count towards street connectivity as they do not contribute towards overall connectivity.  Consequently, intersections that lead to cul-de-sacs also do not count.</t>
  </si>
  <si>
    <t>Route that is served by public transit such as bus, light rail, train, etc.</t>
  </si>
  <si>
    <t>structured, centralized parking</t>
  </si>
  <si>
    <t>shared driveways</t>
  </si>
  <si>
    <t>previously-developed</t>
  </si>
  <si>
    <t>planned transit</t>
  </si>
  <si>
    <t xml:space="preserve">A route that has been designated by a public transit service provider, Greenville County, or a Greenville County municipality as having transit in the future. </t>
  </si>
  <si>
    <t>non-potable uses for water</t>
  </si>
  <si>
    <t>Choose from drop-down menu</t>
  </si>
  <si>
    <t>units per acre</t>
  </si>
  <si>
    <t>Land areas where the slope exceeds 30%.</t>
  </si>
  <si>
    <t xml:space="preserve">U.S. Environmental Protection Agency, Office of Solid Waste and Emergency Response. 1996. Brownfields Initiative. Quick Reference Fact Sheet.  </t>
  </si>
  <si>
    <t>steep slopes</t>
  </si>
  <si>
    <t>Greenville County Stomwater Management Ordinance</t>
  </si>
  <si>
    <t>14. Common Area Landscaping</t>
  </si>
  <si>
    <t xml:space="preserve"> </t>
  </si>
  <si>
    <t>Area that restricts water flow or significantly limits infiltration.  Common examples in a development are paved streets and driveways, rooftops, patios and sidewalks. In addition, some grassed areas may act like impervious areas if the soils were compacted during construction and then sodded over.</t>
  </si>
  <si>
    <t>Rebate Value (formula)</t>
  </si>
  <si>
    <t>Rebate</t>
  </si>
  <si>
    <t xml:space="preserve">Land which is suitable as a location for structures. </t>
  </si>
  <si>
    <t>Greenville County Zoning Ordinance</t>
  </si>
  <si>
    <t xml:space="preserve">    Base Participation Fee</t>
  </si>
  <si>
    <t>Raised crosswalks</t>
  </si>
  <si>
    <t>Curb extensions</t>
  </si>
  <si>
    <t>Special bus lanes and bus shelters</t>
  </si>
  <si>
    <t>Pedestrian refuge medians</t>
  </si>
  <si>
    <t>The majority of project parking consists of the following:</t>
  </si>
  <si>
    <t>A measure of the connectivity within a subdivision itself.  Connectivity Index is calculated by dividing the number of roadway links by the number of roadway nodes. Links are street segments between nodes and/or stub-outs, and nodes include the following:  points where three or more links meet, cul-de sacs, and dead ends. Nodes do not include stub-outs that are built in anticipation of connection to future development or roads.  A higher index means that travelers have increased route choice, allowing more direct connections for access between any two locations. According to this index, a simple box is scored a 1.0. A four-square grid scores a 1.33 while a nine-square scores a 1.5. Dead end and cul-de-sac streets reduce the index value. This sort of connectivity is particularly important for nonmotorized accessibility. A score of 1.4 is the minimum needed for a walkable community.</t>
  </si>
  <si>
    <t>2. Protect Waters of the U.S.</t>
  </si>
  <si>
    <t>3. Protect Areas of Ecological Importance</t>
  </si>
  <si>
    <t>4. Protect Floodplains</t>
  </si>
  <si>
    <t>5. Minimize Erosion from Steep Slopes</t>
  </si>
  <si>
    <t>6. Proximity to a Mix of Uses</t>
  </si>
  <si>
    <t>7. Locate project within existing well-connected neighborhoods</t>
  </si>
  <si>
    <t>8. Provide street connectivity and multiple route choices within the development</t>
  </si>
  <si>
    <t xml:space="preserve">9. Project Street Design </t>
  </si>
  <si>
    <t>10. Public Transit</t>
  </si>
  <si>
    <t>11. Bicycle-Friendly Design</t>
  </si>
  <si>
    <t>12. Walkability</t>
  </si>
  <si>
    <t>If applicable, wet pond designs incorporate the following measures for water fowl control (more than one option can be checked):</t>
  </si>
  <si>
    <t>Indicate the entity that is responsible for maintenance of stormwater infrastructure.</t>
  </si>
  <si>
    <t>Engineer/Surveyor</t>
  </si>
  <si>
    <t>Decision-Making Tool (DMT)</t>
  </si>
  <si>
    <r>
      <t xml:space="preserve">  Design: Greenville Count</t>
    </r>
    <r>
      <rPr>
        <sz val="12"/>
        <rFont val="Times New Roman"/>
        <family val="1"/>
      </rPr>
      <t xml:space="preserve">y </t>
    </r>
    <r>
      <rPr>
        <i/>
        <sz val="12"/>
        <rFont val="Times New Roman"/>
        <family val="1"/>
      </rPr>
      <t>Storm Water Management Design Manual</t>
    </r>
    <r>
      <rPr>
        <sz val="12"/>
        <rFont val="Times New Roman"/>
        <family val="1"/>
      </rPr>
      <t>, January 2003: 282-284.</t>
    </r>
  </si>
  <si>
    <r>
      <t xml:space="preserve">  Design: Maryland Stormwater Design Manual, Volumes I &amp; II</t>
    </r>
    <r>
      <rPr>
        <sz val="12"/>
        <rFont val="Times New Roman"/>
        <family val="1"/>
      </rPr>
      <t>, Appendices: B.3., C.2, 2000.</t>
    </r>
  </si>
  <si>
    <t>Note: Significant cost increases in asphalt paving cost are incurred when roads are paved in</t>
  </si>
  <si>
    <r>
      <t>Design: North Carolina Division of Water Quality Stormwater Best Practices Manual</t>
    </r>
    <r>
      <rPr>
        <sz val="12"/>
        <rFont val="Times New Roman"/>
        <family val="1"/>
      </rPr>
      <t>, Ch. 13: Filter Strip, July 2007.</t>
    </r>
  </si>
  <si>
    <t>Indicate ground coverage on pervious areas</t>
  </si>
  <si>
    <t>Indicate use of buffers to protect drainage inlets</t>
  </si>
  <si>
    <t>Vegetative buffers protect drainage inlets</t>
  </si>
  <si>
    <t xml:space="preserve">Indicate the percent area of the site that is impervious. </t>
  </si>
  <si>
    <t>Indicate average block Length (in feet) within development.</t>
  </si>
  <si>
    <t>Heavy/clay soil</t>
  </si>
  <si>
    <t>Silt loam soil</t>
  </si>
  <si>
    <t>Sandy clay/sandy clay loam soil</t>
  </si>
  <si>
    <t>Sandy loam soil</t>
  </si>
  <si>
    <t>Deep sandy soil</t>
  </si>
  <si>
    <t>Project avoids slopes greater than 30% (5 points).</t>
  </si>
  <si>
    <t>Project does not avoid slopes greater than 30% or does not restore existing slopes properly (0 points).</t>
  </si>
  <si>
    <t>Sidewalks</t>
  </si>
  <si>
    <t>Bicycle lanes</t>
  </si>
  <si>
    <t>Indicate post-construction landscaping maintenance measures for nitrogen control.</t>
  </si>
  <si>
    <t>Indicate IDEAL TEP</t>
  </si>
  <si>
    <t>Indicate IDEAL TEN</t>
  </si>
  <si>
    <t>Bioretension Cell</t>
  </si>
  <si>
    <t>Additional LID Cost</t>
  </si>
  <si>
    <t>Adjacent streets to the project contain (or will contain) at least three of the following characteristics (10 points):</t>
  </si>
  <si>
    <t>Parking in rear (1 point)</t>
  </si>
  <si>
    <t>Shared driveways (1 point)</t>
  </si>
  <si>
    <r>
      <t xml:space="preserve">If </t>
    </r>
    <r>
      <rPr>
        <sz val="11"/>
        <color indexed="8"/>
        <rFont val="Calibri"/>
        <family val="2"/>
      </rPr>
      <t>conducting a soils investigation, indicate the dominant soil type</t>
    </r>
  </si>
  <si>
    <t>Street that fronts the development site, or shares a border with the site, but is not built by the project developer himself.</t>
  </si>
  <si>
    <t>Private, individual driveways (0 points)</t>
  </si>
  <si>
    <t xml:space="preserve">    Cost Data: Aquabarrel.com</t>
  </si>
  <si>
    <t>Wetland</t>
  </si>
  <si>
    <r>
      <t>Design: Designing Stormwater Wetlands for Small Watersheds</t>
    </r>
    <r>
      <rPr>
        <sz val="12"/>
        <rFont val="Times New Roman"/>
        <family val="1"/>
      </rPr>
      <t>, North Carolina State University Cooperative Extension.</t>
    </r>
  </si>
  <si>
    <r>
      <t>Design: Maryland Stormwater Design Manual, Volumes I &amp; II</t>
    </r>
    <r>
      <rPr>
        <sz val="12"/>
        <rFont val="Times New Roman"/>
        <family val="1"/>
      </rPr>
      <t>, Appendices: C.1, 2000.</t>
    </r>
  </si>
  <si>
    <r>
      <t>Design: North Carolina Division of Water Quality Stormwater Wetland Manual</t>
    </r>
    <r>
      <rPr>
        <sz val="12"/>
        <rFont val="Times New Roman"/>
        <family val="1"/>
      </rPr>
      <t>.</t>
    </r>
  </si>
  <si>
    <t>Green Roof</t>
  </si>
  <si>
    <t>Cost Data: 2009 Virginia (TetraTech)</t>
  </si>
  <si>
    <t>Cost Data: 2009 Greer (Upstate Forever)</t>
  </si>
  <si>
    <t>Cost Data: 2009 Clemson (Upstate Forever)</t>
  </si>
  <si>
    <t>Sand Filter</t>
  </si>
  <si>
    <t>&lt;== Dollars (Currently Set Equal to Average Lot Price before DB as per Upstate Forever Request</t>
  </si>
  <si>
    <t>Porous Pavement:</t>
  </si>
  <si>
    <t xml:space="preserve">   Cost Data:  Tetra Tech, Vulcan Materials, Discount Bark, Southeast Garden, Lowes</t>
  </si>
  <si>
    <t xml:space="preserve">   Cost Data:  Tetra Tech, Vulcan Materials, US Fabrics </t>
  </si>
  <si>
    <t>Subdivision Name</t>
  </si>
  <si>
    <t>Developer</t>
  </si>
  <si>
    <r>
      <rPr>
        <b/>
        <vertAlign val="superscript"/>
        <sz val="10.5"/>
        <rFont val="Arial"/>
        <family val="2"/>
      </rPr>
      <t>5</t>
    </r>
    <r>
      <rPr>
        <b/>
        <sz val="10.5"/>
        <rFont val="Arial"/>
        <family val="2"/>
      </rPr>
      <t xml:space="preserve"> Wet Pond is five feet deep.</t>
    </r>
  </si>
  <si>
    <r>
      <rPr>
        <b/>
        <vertAlign val="superscript"/>
        <sz val="10.5"/>
        <rFont val="Arial"/>
        <family val="2"/>
      </rPr>
      <t>6</t>
    </r>
    <r>
      <rPr>
        <b/>
        <sz val="10.5"/>
        <rFont val="Arial"/>
        <family val="2"/>
      </rPr>
      <t xml:space="preserve"> Wetland average depth is two feet.</t>
    </r>
  </si>
  <si>
    <t>&lt;== Assumed percent profit per lot on Density Bonus lots (Now Equals Profit Before Density Bonus)</t>
  </si>
  <si>
    <t>Green Roof:</t>
  </si>
  <si>
    <t>Percent Participation Fee</t>
  </si>
  <si>
    <t>Design functional landscaping to filter out stormwater pollutants.</t>
  </si>
  <si>
    <t>Indicate IDEAL TEB</t>
  </si>
  <si>
    <t>0utput:</t>
  </si>
  <si>
    <r>
      <t>Design: Greenville Count</t>
    </r>
    <r>
      <rPr>
        <sz val="12"/>
        <rFont val="Times New Roman"/>
        <family val="1"/>
      </rPr>
      <t xml:space="preserve">y </t>
    </r>
    <r>
      <rPr>
        <i/>
        <sz val="12"/>
        <rFont val="Times New Roman"/>
        <family val="1"/>
      </rPr>
      <t>Storm Water Management Design Manual</t>
    </r>
    <r>
      <rPr>
        <sz val="12"/>
        <rFont val="Times New Roman"/>
        <family val="1"/>
      </rPr>
      <t>, January 2003: 285-287.</t>
    </r>
  </si>
  <si>
    <r>
      <t>Design: Maryland Stormwater Design Manual, Volumes I &amp; II</t>
    </r>
    <r>
      <rPr>
        <sz val="12"/>
        <rFont val="Times New Roman"/>
        <family val="1"/>
      </rPr>
      <t>, Appendices: B.2., C.2, 2000.</t>
    </r>
  </si>
  <si>
    <t>Drypond</t>
  </si>
  <si>
    <r>
      <t>Design: Maryland Stormwater Design Manual, Volumes I &amp; II</t>
    </r>
    <r>
      <rPr>
        <sz val="12"/>
        <rFont val="Times New Roman"/>
        <family val="1"/>
      </rPr>
      <t>, Appendices: B.1, 2000.</t>
    </r>
  </si>
  <si>
    <t>Wetpond</t>
  </si>
  <si>
    <r>
      <t>Design: Maryland Stormwater Design Manual, Volumes I &amp; II</t>
    </r>
    <r>
      <rPr>
        <sz val="12"/>
        <rFont val="Times New Roman"/>
        <family val="1"/>
      </rPr>
      <t>, Appendices: B.3, 2000.</t>
    </r>
  </si>
  <si>
    <r>
      <t>Design: North Carolina Division of Water Quality Stormwater Best Practices Manual</t>
    </r>
    <r>
      <rPr>
        <sz val="12"/>
        <rFont val="Times New Roman"/>
        <family val="1"/>
      </rPr>
      <t>, Ch.10: Wet Detention Basin, June 2009.</t>
    </r>
  </si>
  <si>
    <t>Porous Pavement</t>
  </si>
  <si>
    <t>Cost Data: 2007, 2009 Greenville Car Wash</t>
  </si>
  <si>
    <t>Cost Data: 2007, 2009  Greenville Hospital, Patewood (Upstate Forever)</t>
  </si>
  <si>
    <t>Base Participation Fee</t>
  </si>
  <si>
    <t>&lt;== No adjustment for exceeding minimum participation Score</t>
  </si>
  <si>
    <r>
      <rPr>
        <b/>
        <vertAlign val="superscript"/>
        <sz val="10.5"/>
        <rFont val="Arial"/>
        <family val="2"/>
      </rPr>
      <t xml:space="preserve">3 </t>
    </r>
    <r>
      <rPr>
        <b/>
        <sz val="10.5"/>
        <rFont val="Arial"/>
        <family val="2"/>
      </rPr>
      <t>Bioswales are six feet deep.</t>
    </r>
  </si>
  <si>
    <t xml:space="preserve">       (Calculation: Additional Profit * Percent Participation Fee</t>
  </si>
  <si>
    <r>
      <rPr>
        <b/>
        <vertAlign val="superscript"/>
        <sz val="10.5"/>
        <rFont val="Arial"/>
        <family val="2"/>
      </rPr>
      <t>4</t>
    </r>
    <r>
      <rPr>
        <b/>
        <sz val="10.5"/>
        <rFont val="Arial"/>
        <family val="2"/>
      </rPr>
      <t xml:space="preserve"> Drypond is four feet deep.</t>
    </r>
  </si>
  <si>
    <t>&lt;== Downward participation cost adjustment For Exceeding Threshold Scrore</t>
  </si>
  <si>
    <t>Effective Participation Fee</t>
  </si>
  <si>
    <t>&lt;== Actual Participation Fee Paid to Bank</t>
  </si>
  <si>
    <t xml:space="preserve">        (Calculation: Base Participation Fee - Participation Fee Savings)</t>
  </si>
  <si>
    <t>Expected Builder Profit</t>
  </si>
  <si>
    <t>Cost Data: 2009 Riverside High School (Greer)</t>
  </si>
  <si>
    <r>
      <rPr>
        <b/>
        <vertAlign val="superscript"/>
        <sz val="10.5"/>
        <rFont val="Arial"/>
        <family val="2"/>
      </rPr>
      <t xml:space="preserve">2 </t>
    </r>
    <r>
      <rPr>
        <b/>
        <sz val="10.5"/>
        <rFont val="Arial"/>
        <family val="2"/>
      </rPr>
      <t>Infiltration trench is six feet deep.</t>
    </r>
  </si>
  <si>
    <t>Outputed value</t>
  </si>
  <si>
    <t xml:space="preserve">     The user defined total cost value for each BMP overides (replaces) the internally calculated </t>
  </si>
  <si>
    <t>&lt;== LID Cost - Conventional Control Cost</t>
  </si>
  <si>
    <t>Site does not contain features that would attract water fowl:</t>
  </si>
  <si>
    <t>Structured, centralized parking (16 points)</t>
  </si>
  <si>
    <t>&lt;== Additional Builder Profit minus Adjusted Participation Fee (before LID Cost)</t>
  </si>
  <si>
    <t xml:space="preserve">   Cost Data:  Tetra Tech, US Fabrics, Vulcan Materials, Discount Bark, Southeast Garden, Lowes</t>
  </si>
  <si>
    <t>Buffer Strip</t>
  </si>
  <si>
    <t xml:space="preserve">excess of their minimum required width.  The average cost of paving a linear-foot mile is $13,200. </t>
  </si>
  <si>
    <t>(Before Additional LID cost)</t>
  </si>
  <si>
    <t>LID Design and Cost Sources</t>
  </si>
  <si>
    <t>Estimated LID Cost</t>
  </si>
  <si>
    <t>&lt;== LID Cost before net out conventional control cost</t>
  </si>
  <si>
    <r>
      <t>Design: Bioretention Manual</t>
    </r>
    <r>
      <rPr>
        <sz val="12"/>
        <rFont val="Times New Roman"/>
        <family val="1"/>
      </rPr>
      <t>; Environmental Services Division, Department of Environmental Resources, Prince George’s County Maryland, December 2007: 70-71.</t>
    </r>
  </si>
  <si>
    <t>Sanitary sewer systems</t>
  </si>
  <si>
    <r>
      <t>Design: Maryland Stormwater Design Manual, Volumes I &amp; II</t>
    </r>
    <r>
      <rPr>
        <sz val="12"/>
        <rFont val="Times New Roman"/>
        <family val="1"/>
      </rPr>
      <t>, Appendix C.2, 2000</t>
    </r>
  </si>
  <si>
    <t>Spreadsheet to calculate builder profit before paying for additional LID cost and to perform sensitity analysis on participation fee equation</t>
  </si>
  <si>
    <t>Natural Infiltration Area:</t>
  </si>
  <si>
    <t>ac</t>
  </si>
  <si>
    <t>Input Data/Parameters</t>
  </si>
  <si>
    <t>Number Lots without Density Bonus</t>
  </si>
  <si>
    <t xml:space="preserve">   Cost Data:  Tetra Tech, Southeast Garden, Lowes</t>
  </si>
  <si>
    <t>Bioswale</t>
  </si>
  <si>
    <r>
      <t>Design: Bioswales Summary Fact Sheet</t>
    </r>
    <r>
      <rPr>
        <sz val="12"/>
        <rFont val="Times New Roman"/>
        <family val="1"/>
      </rPr>
      <t>, Fairfax County, Virginia; February 28, 2005.</t>
    </r>
  </si>
  <si>
    <t>&lt;== Number of lots without Density Bonus</t>
  </si>
  <si>
    <t>Buffer Strip:</t>
  </si>
  <si>
    <t>Number Lots with Density Bonus</t>
  </si>
  <si>
    <t>Additional Lots in Subdivision</t>
  </si>
  <si>
    <t>&lt;== From Density Bonus (computed elsewhere in spreadsheet)</t>
  </si>
  <si>
    <t>Minimum Participation Score</t>
  </si>
  <si>
    <t>&lt;== Determined by Water Bank</t>
  </si>
  <si>
    <t>DMT Score</t>
  </si>
  <si>
    <t>&lt;== DMT Score (computed by DMT)</t>
  </si>
  <si>
    <r>
      <t>Design: Greenville Count</t>
    </r>
    <r>
      <rPr>
        <sz val="12"/>
        <rFont val="Times New Roman"/>
        <family val="1"/>
      </rPr>
      <t xml:space="preserve">y </t>
    </r>
    <r>
      <rPr>
        <i/>
        <sz val="12"/>
        <rFont val="Times New Roman"/>
        <family val="1"/>
      </rPr>
      <t>Storm Water Management Design Manual</t>
    </r>
    <r>
      <rPr>
        <sz val="12"/>
        <rFont val="Times New Roman"/>
        <family val="1"/>
      </rPr>
      <t>, January 2003: 288-290.</t>
    </r>
  </si>
  <si>
    <r>
      <t>Design: Maryland Stormwater Design Manual, Volumes I &amp; II</t>
    </r>
    <r>
      <rPr>
        <sz val="12"/>
        <rFont val="Times New Roman"/>
        <family val="1"/>
      </rPr>
      <t>, Appendices: C.2, 2000.</t>
    </r>
  </si>
  <si>
    <t>&lt;== Original Lot price before adjusting for potential price change due to Density Bonus</t>
  </si>
  <si>
    <t>Default value or developer inputed</t>
  </si>
  <si>
    <t>Average lot price Before DP</t>
  </si>
  <si>
    <t>AVERAGE Lot Price with DB</t>
  </si>
  <si>
    <t>Infiltration Trench</t>
  </si>
  <si>
    <t>Percent Profit on original Lot Sales</t>
  </si>
  <si>
    <t>&lt;= Normal percent builder profit on a subdivion lot</t>
  </si>
  <si>
    <t>Sand Filter Area:</t>
  </si>
  <si>
    <t>Percent Profit on DB Lot Sales</t>
  </si>
  <si>
    <t>&lt;== Percent share of assumed profit that goes to Bank</t>
  </si>
  <si>
    <t>Rain Barrel</t>
  </si>
  <si>
    <t>gal</t>
  </si>
  <si>
    <t xml:space="preserve">Total = </t>
  </si>
  <si>
    <t>Input Data</t>
  </si>
  <si>
    <t>An area where one of the following has been found or has a high likelihood of occuring on the site due to the presence of suitable habitat and nearby occurrences: (1) a threatened or endangered species under the federal or state Endangered Species Act; or (2) species or ecological communities that have been classified by NatureServe as global rank GH (possibly extinct), G1 (critically imperiled) or G2 (imperiled).</t>
  </si>
  <si>
    <t>NatureServe list: https://www.dnr.sc.gov:4443/pls/heritage/county_species.list?pcounty=all</t>
  </si>
  <si>
    <t>estimated using one of two alternative approaches:</t>
  </si>
  <si>
    <t>Cost Data and Scale Parameters (Eventually will be hidden)</t>
  </si>
  <si>
    <t>Best Management Practices in Post Construction Plan</t>
  </si>
  <si>
    <t>BMP Area Unit</t>
  </si>
  <si>
    <t>Default Total Cost for each BMP</t>
  </si>
  <si>
    <t>User- Defined Total Cost for each BMP (optional)</t>
  </si>
  <si>
    <t>Estimated Total Cost for each BMP</t>
  </si>
  <si>
    <t>Unit Cost</t>
  </si>
  <si>
    <t>Convential BMP Cost</t>
  </si>
  <si>
    <t>&lt;== Conventional Stormwater Cost (For non-Density Bonus Lots)  Need to Estimate Conventional Costs First</t>
  </si>
  <si>
    <t>Scale 2 (scale exceeding 4 times base scale)</t>
  </si>
  <si>
    <t>Participation Fee Calculation Formula:  All information will eventually be hidden in final public spreadsheet</t>
  </si>
  <si>
    <r>
      <t>Design: Greenville Count</t>
    </r>
    <r>
      <rPr>
        <sz val="12"/>
        <rFont val="Times New Roman"/>
        <family val="1"/>
      </rPr>
      <t xml:space="preserve">y </t>
    </r>
    <r>
      <rPr>
        <i/>
        <sz val="12"/>
        <rFont val="Times New Roman"/>
        <family val="1"/>
      </rPr>
      <t>Storm Water Management Design Manual</t>
    </r>
    <r>
      <rPr>
        <sz val="12"/>
        <rFont val="Times New Roman"/>
        <family val="1"/>
      </rPr>
      <t>, January 2003: 276-281.</t>
    </r>
  </si>
  <si>
    <t>Expected Profit from participation</t>
  </si>
  <si>
    <t>Original Number of Lots</t>
  </si>
  <si>
    <t xml:space="preserve">control practices and then the BMP cost for LID control practices. </t>
  </si>
  <si>
    <r>
      <t>Design: North Carolina Division of Water Quality Stormwater Best Practices Manual</t>
    </r>
    <r>
      <rPr>
        <sz val="12"/>
        <rFont val="Times New Roman"/>
        <family val="1"/>
      </rPr>
      <t>, Ch.17: Dry Extended Detention Basin, June 2009.</t>
    </r>
  </si>
  <si>
    <t>(Original Number Lots * reduction in lot price * percent profit on original lots)</t>
  </si>
  <si>
    <t>Notes:</t>
  </si>
  <si>
    <t>Additional Builder Profit</t>
  </si>
  <si>
    <t>&lt;==  DMT score must exceed Minimum Score to get density bonus</t>
  </si>
  <si>
    <r>
      <rPr>
        <b/>
        <vertAlign val="superscript"/>
        <sz val="10.5"/>
        <rFont val="Arial"/>
        <family val="2"/>
      </rPr>
      <t xml:space="preserve">1 </t>
    </r>
    <r>
      <rPr>
        <b/>
        <sz val="10.5"/>
        <rFont val="Arial"/>
        <family val="2"/>
      </rPr>
      <t>Bioretention area is six feet deep.</t>
    </r>
  </si>
  <si>
    <t>Cost Data: 2008,2009  Cleveland Park, Greenville Public Works</t>
  </si>
  <si>
    <t>Cost Data: 2008, 2009 Freeland, Indigo Joe’s</t>
  </si>
  <si>
    <t>Waters that meet one of the following three classifications: a. Natural (TN) are freshwaters suitable for supporting reproducing trout populations and a cold water balanced indigenous aquatic community of fauna and flora. Also suitable for primary and secondary contact recreation and as a source for drinking water supply after conventional treatment in accordance with the requirements of the Department. Suitable for fishing and the survival and propagation of a balanced indigenous aquatic community of fauna and flora. Suitable also for industrial and agricultural uses. b. Put, Grow, and Take (TPGT) are freshwaters suitable for supporting growth of stocked trout populations and a balanced indigenous aquatic community of fauna and flora. Also suitable for primary and secondary contact recreation and as a source for drinking water supply after conventional treatment in accordance with the requirements of the Department. Suitable for fishing and the survival and propagation of a balanced indigenous aquatic community of fauna and flora. Suitable also for industrial and agricultural uses. c. Put and Take (TPT) are freshwaters suitable for primary and secondary contact recreation and as a source for drinking water supply after conventional treatment in accordance with the requirements of the Department. Suitable for fishing and the survival and propagation of a balanced indigenous aquatic community of fauna and flora. Suitable also for industrial and agricultural uses. The standards of Freshwaters classification protect these uses.</t>
  </si>
  <si>
    <t>Profit on Density Bonus Lots</t>
  </si>
  <si>
    <t>Density Bonus Lot Price * percent Profit on density bonus lots</t>
  </si>
  <si>
    <t>Lost profit on original lots with DB</t>
  </si>
  <si>
    <t xml:space="preserve">        (Calculation: Additional Lots * Lot Price * percent profit on lot sale) - lost value on original lots</t>
  </si>
  <si>
    <t>Established grass, sod, or landscaping is based on combinations of factors that affect infiltration and runoff, including density and canopy of vegetative areas, amount of vegetation, percent of residue cover on the land surface, and degree of surface toughness. Well established grass (more than 2 months of active growing time since planting), woods with ground litter, or landscaped plants with mulch are alternatives. In any case, the surface should be adequately covered with at least 75% density.  Density can be estimated by either the transect or grid methods.</t>
  </si>
  <si>
    <t>Measures for nitrogen control can either be vegetative-based practices such as bioretention cells, vegetative filters, or structural BMPs that are shown to provide nitrogen removal based on IDEAL modeling.</t>
  </si>
  <si>
    <t xml:space="preserve">May include use for outdoor irrigation, however currently recycled greywater is not permissible for outdoor use per South Carolina codes.  </t>
  </si>
  <si>
    <t>Good cover should consist of well established grass (more than 2 months of active growing time since planting), woods with ground litter, or landscaped plants with mulch. In any case, the surface should be adequately covered with at least 75% density.  Density can be estimated by either the transect or grid methods.</t>
  </si>
  <si>
    <r>
      <rPr>
        <b/>
        <sz val="11"/>
        <color indexed="8"/>
        <rFont val="Calibri"/>
        <family val="2"/>
      </rPr>
      <t>Continuous</t>
    </r>
    <r>
      <rPr>
        <sz val="11"/>
        <color indexed="8"/>
        <rFont val="Calibri"/>
        <family val="2"/>
      </rPr>
      <t xml:space="preserve"> sidewalks or pedestrian pathways lead from project to 4 or more diverse uses.  Provide map for verification (6 points).</t>
    </r>
  </si>
  <si>
    <t>Percent profit on DB sales</t>
  </si>
  <si>
    <t>AD23</t>
  </si>
  <si>
    <t>AD24</t>
  </si>
  <si>
    <t>AD22</t>
  </si>
  <si>
    <t>R-6 (7.26 units/acre)</t>
  </si>
  <si>
    <t>R-7.5 (5.8 units/acre)</t>
  </si>
  <si>
    <t>R-10 (4.4 units/acre)</t>
  </si>
  <si>
    <t>R-12 (3.6 units/acre)</t>
  </si>
  <si>
    <t>R-15 (2.9 units/acre)</t>
  </si>
  <si>
    <t>SC DHEC Stormwater Management BMP Handbook. August 2005.</t>
  </si>
  <si>
    <t>infiltration practices</t>
  </si>
  <si>
    <t>good cover</t>
  </si>
  <si>
    <t>As defined by DHEC R61-68, WATER CLASSIFICATIONS &amp; STANDARDS, freshwaters or saltwaters which constitute an outstanding recreational or ecological resource or those freshwaters suitable as a source for drinking water supply purposes with treatment levels specified by the Department.</t>
  </si>
  <si>
    <t>R.61-68, WATER CLASSIFICATIONS &amp; STANDARDS</t>
  </si>
  <si>
    <r>
      <t xml:space="preserve">Project maintains a minimum, permanent 100' vegetated buffer for trout and/or </t>
    </r>
    <r>
      <rPr>
        <b/>
        <sz val="11"/>
        <color indexed="62"/>
        <rFont val="Calibri"/>
        <family val="2"/>
      </rPr>
      <t>outstanding resource waters</t>
    </r>
    <r>
      <rPr>
        <sz val="11"/>
        <color indexed="8"/>
        <rFont val="Calibri"/>
        <family val="2"/>
      </rPr>
      <t xml:space="preserve"> (5 points).</t>
    </r>
  </si>
  <si>
    <t xml:space="preserve">(1) the construction, installation, or alteration of a structure, impervious surface or drainage facility; or (2) the clearing, scraping, grubbing or otherwise significantly disturbing the soil, vegetation, mud, sand or rock of a site; or (3) adding, removing, exposing, excavating, leveling, grading, digging, burrowing, dumping, piling, dredging, or otherwise disturbing the soil, vegetation, mud, sand or rock of a site.
</t>
  </si>
  <si>
    <t>Current Zoning (units/acre)</t>
  </si>
  <si>
    <t>Percent profit on original lot sales</t>
  </si>
  <si>
    <t>Wet ponds have a permanent (dead storage) pool of water equal to the water quality volume. Temporary storage (live storage) may be added above the permanent pool elevation for larger flows.</t>
  </si>
  <si>
    <t>A structure designed specifically to be for automobile parking and where there are a number of floors or levels on which parking takes place. It is essentially a stacked car park.</t>
  </si>
  <si>
    <t>Kentucky Connectivity Zoning and Subdivision Model Ordinance</t>
  </si>
  <si>
    <t>Good hydrologic condition is based on combinations of factors that affect infiltration and runoff, including density and canopy of vegetative areas, amount of grass, percent of residue cover on the land surface, and degree of surface toughness. To achieve good hydrologic condition, well established grass (more than 2 months of active growing time since planting), woods with ground litter, or landscaped plants with mulch are alternatives. In any case, the surface should be adequately covered with at least 75% density.  Density can be estimated by either the transect or grid methods.</t>
  </si>
  <si>
    <t>impervious</t>
  </si>
  <si>
    <t>established grass, sod, or landscaping</t>
  </si>
  <si>
    <t>A  stream that has continuous flow all year round during years of normal rainfall as compared to "intermittent" streams which normally cease flowing for weeks or months each year, or with "ephemeral" channels that flow for a short time following rainfall. During unusually dry years, a normally perennial stream may cease flowing.</t>
  </si>
  <si>
    <t>Adapted from USDA-NRCS National Engineering Handbook.</t>
  </si>
  <si>
    <t>established infiltration trenches</t>
  </si>
  <si>
    <t>Regional Scale Impacts to Water Quality</t>
  </si>
  <si>
    <t>Regional Scale Subtotal</t>
  </si>
  <si>
    <t>Neighborhood Scale Impacts to Water Quality</t>
  </si>
  <si>
    <t>Cul-de-sacs</t>
  </si>
  <si>
    <t>Front Building Setbacks (in feet)</t>
  </si>
  <si>
    <t>Neighborhood Scale subtotal</t>
  </si>
  <si>
    <t>Site-Scale Subtotal =</t>
  </si>
  <si>
    <t>Term</t>
  </si>
  <si>
    <t>Definition</t>
  </si>
  <si>
    <t>Source</t>
  </si>
  <si>
    <t>Scale 1     (1 to 4 times base scale)</t>
  </si>
  <si>
    <r>
      <t xml:space="preserve">Project is located on or within 100' of </t>
    </r>
    <r>
      <rPr>
        <b/>
        <sz val="11"/>
        <color indexed="62"/>
        <rFont val="Calibri"/>
        <family val="2"/>
      </rPr>
      <t>trout waters</t>
    </r>
    <r>
      <rPr>
        <sz val="11"/>
        <color indexed="8"/>
        <rFont val="Calibri"/>
        <family val="2"/>
      </rPr>
      <t xml:space="preserve"> or </t>
    </r>
    <r>
      <rPr>
        <b/>
        <sz val="11"/>
        <color indexed="62"/>
        <rFont val="Calibri"/>
        <family val="2"/>
      </rPr>
      <t>outstanding resource waters</t>
    </r>
    <r>
      <rPr>
        <sz val="11"/>
        <color indexed="8"/>
        <rFont val="Calibri"/>
        <family val="2"/>
      </rPr>
      <t>, and fails to maintain a 100' minimum vegetated buffer for these waters (0 points).</t>
    </r>
  </si>
  <si>
    <t>Nodes are defined as intersections, cul-de-sacs, and sharp curves greater than 75 degrees. They do not include the end of a stub-out at the property line or intersections with the adjoining highway network.</t>
  </si>
  <si>
    <t>Shared driveways are those that include a single curb cut and driveway for two or more houses.  Such parking thereby reduces the amount of interruptions with pedestrian activity and reduces overall impervious surfaces.</t>
  </si>
  <si>
    <r>
      <t xml:space="preserve">Project is near various </t>
    </r>
    <r>
      <rPr>
        <b/>
        <sz val="11"/>
        <color indexed="62"/>
        <rFont val="Calibri"/>
        <family val="2"/>
      </rPr>
      <t xml:space="preserve">commercial establishments </t>
    </r>
    <r>
      <rPr>
        <sz val="11"/>
        <color indexed="8"/>
        <rFont val="Calibri"/>
        <family val="2"/>
      </rPr>
      <t xml:space="preserve">(other than residential), which can include grocery, retail, restaurants, schools, offices, recreation, etc.  Enter the number of establishments within the distances provided, up to a maximum of 20 uses per category.  Provide an area map indicating the different uses and distances for verification. (Total of 20 points possible)
</t>
    </r>
  </si>
  <si>
    <t>All interior roads (not including alleys) in the project contain sidewalks on at least one side of the street (1 point).</t>
  </si>
  <si>
    <t>establishments within 1/4 miles (1 point each)</t>
  </si>
  <si>
    <t>establishments between 1/4 mile and 1/2 mile (0.75 points each)</t>
  </si>
  <si>
    <t>establishments between 1/2 mile and 3/4 mile (0.25 points each)</t>
  </si>
  <si>
    <t>establishments between 3/4 and 1 mile (0.1 points each)</t>
  </si>
  <si>
    <r>
      <rPr>
        <b/>
        <sz val="11"/>
        <color indexed="62"/>
        <rFont val="Calibri"/>
        <family val="2"/>
      </rPr>
      <t>Nodes</t>
    </r>
    <r>
      <rPr>
        <sz val="11"/>
        <color indexed="8"/>
        <rFont val="Calibri"/>
        <family val="2"/>
      </rPr>
      <t>: points where three or more roadway segments meet; cul-de-sacs; dead-ends, and sharp curves (&gt;75° )</t>
    </r>
  </si>
  <si>
    <t>Project hires professional landscape architect to confirm appropriate planting details and use of native plants (3 points).</t>
  </si>
  <si>
    <r>
      <rPr>
        <b/>
        <sz val="13"/>
        <rFont val="Calibri"/>
        <family val="2"/>
      </rPr>
      <t>%</t>
    </r>
    <r>
      <rPr>
        <sz val="11"/>
        <rFont val="Calibri"/>
        <family val="2"/>
      </rPr>
      <t xml:space="preserve"> of total area drains through </t>
    </r>
    <r>
      <rPr>
        <b/>
        <sz val="11"/>
        <color indexed="62"/>
        <rFont val="Calibri"/>
        <family val="2"/>
      </rPr>
      <t>infiltration practices</t>
    </r>
  </si>
  <si>
    <t>Units per acre (18 point maximum.  Points are awarded starting at 6 units/acre).</t>
  </si>
  <si>
    <t>Indicate travel distance from project to continuous (1/2-mile or longer) bicycle-friendly route (street with post speed less than 25mph, bicycle lanes, or designated greenway).</t>
  </si>
  <si>
    <r>
      <t xml:space="preserve">Project disturbs area on or within 75' of </t>
    </r>
    <r>
      <rPr>
        <b/>
        <sz val="11"/>
        <color indexed="62"/>
        <rFont val="Calibri"/>
        <family val="2"/>
      </rPr>
      <t>wetlands</t>
    </r>
    <r>
      <rPr>
        <sz val="11"/>
        <color indexed="8"/>
        <rFont val="Calibri"/>
        <family val="2"/>
      </rPr>
      <t xml:space="preserve"> or </t>
    </r>
    <r>
      <rPr>
        <b/>
        <sz val="11"/>
        <color indexed="62"/>
        <rFont val="Calibri"/>
        <family val="2"/>
      </rPr>
      <t>waters of the U.S.</t>
    </r>
    <r>
      <rPr>
        <sz val="11"/>
        <color indexed="8"/>
        <rFont val="Calibri"/>
        <family val="2"/>
      </rPr>
      <t xml:space="preserve"> or fails to maintain a minimum buffer of 75' (0 points).</t>
    </r>
  </si>
  <si>
    <r>
      <t xml:space="preserve">No </t>
    </r>
    <r>
      <rPr>
        <b/>
        <sz val="11"/>
        <color indexed="62"/>
        <rFont val="Calibri"/>
        <family val="2"/>
      </rPr>
      <t>trout waters</t>
    </r>
    <r>
      <rPr>
        <sz val="11"/>
        <color indexed="8"/>
        <rFont val="Calibri"/>
        <family val="2"/>
      </rPr>
      <t xml:space="preserve"> or </t>
    </r>
    <r>
      <rPr>
        <b/>
        <sz val="11"/>
        <color indexed="62"/>
        <rFont val="Calibri"/>
        <family val="2"/>
      </rPr>
      <t>outstanding resource waters</t>
    </r>
    <r>
      <rPr>
        <sz val="11"/>
        <color indexed="8"/>
        <rFont val="Calibri"/>
        <family val="2"/>
      </rPr>
      <t xml:space="preserve"> are located on or within 100' of the project (5 points).</t>
    </r>
  </si>
  <si>
    <t>Commercial facilities that may include: grocery stores, retail, banks, service-related facilities (salon, laundry, gym, etc.), restaurants, civic or community facilities (post office, schools, recreation centers, etc.).  For the purposes of the DMT, each individual commercial establishment may be considered, accounting for a maximum of 20 per distance category.</t>
  </si>
  <si>
    <t>Bioswale:</t>
  </si>
  <si>
    <t>Dry Pond:</t>
  </si>
  <si>
    <t>Wet Pond:</t>
  </si>
  <si>
    <t>Buffer should be minimum of 10 ft width in same direction as runoff flows. Buffer should consist of well established grass (more than 2 months of active growing time since planting), woods with ground litter, or landscaped plants with mulch. In any case, the surface should be adequately covered with at least 75% density.  Density can be estimated by either the transect or grid methods.</t>
  </si>
  <si>
    <t>Adapted from USDA-NRCS National Engineering Handbook, Chapter 9 - Hydrologic Soil-Cover Complexes</t>
  </si>
  <si>
    <t>Adapted from LEED ND.</t>
  </si>
  <si>
    <t>Ewing,1996.</t>
  </si>
  <si>
    <t>A link is defined as a segment of road between two nodes. This includes road segments leading from the adjoining highway network or adjacent development.  Links can include walking or bicycle paths.</t>
  </si>
  <si>
    <r>
      <t xml:space="preserve">Land that has been altered by paving, construction, and/or land use that would typically have required regulatory permitting.  Lots less than 5 acres in size that have been built as part of a larger subdivision all count as previously-developed land.  It does NOT include altered landscapes resulting from current or historical clearing or filling, agricultural or forestry use, or preserved natural area use.  </t>
    </r>
    <r>
      <rPr>
        <b/>
        <sz val="11"/>
        <rFont val="Calibri"/>
        <family val="2"/>
      </rPr>
      <t xml:space="preserve">It does NOT include 5-acre or larger parcels of which less than half of the parcel has been previously-developed. </t>
    </r>
    <r>
      <rPr>
        <sz val="11"/>
        <rFont val="Calibri"/>
        <family val="2"/>
      </rPr>
      <t xml:space="preserve"> It does NOT include streets and areas that have been developed by the same entity (developer) or affiliates of the same entity within the past ten years.
</t>
    </r>
  </si>
  <si>
    <t>R-20 (2.2 units/acre)</t>
  </si>
  <si>
    <t>R-S (1.7 units/acre)</t>
  </si>
  <si>
    <t xml:space="preserve">    E16 to E27.  The cost values per unit of BMP volume are average values for Greenville County.</t>
  </si>
  <si>
    <t xml:space="preserve">     cost.  The estimate must be consistent with the scale of the BMP input into cells E16 - E27.</t>
  </si>
  <si>
    <t>BMP area or volume unit used in cost estimations</t>
  </si>
  <si>
    <r>
      <t>ft</t>
    </r>
    <r>
      <rPr>
        <b/>
        <vertAlign val="superscript"/>
        <sz val="11"/>
        <rFont val="Arial"/>
        <family val="2"/>
      </rPr>
      <t>2</t>
    </r>
  </si>
  <si>
    <t>Rain Barrel:</t>
  </si>
  <si>
    <t>Standardized Unit Size</t>
  </si>
  <si>
    <t>Estimated Cost per Standardized Unit</t>
  </si>
  <si>
    <r>
      <t>ft</t>
    </r>
    <r>
      <rPr>
        <b/>
        <vertAlign val="superscript"/>
        <sz val="11"/>
        <rFont val="Arial"/>
        <family val="2"/>
      </rPr>
      <t>3</t>
    </r>
  </si>
  <si>
    <t>n/a</t>
  </si>
  <si>
    <t>100</t>
  </si>
  <si>
    <t>150</t>
  </si>
  <si>
    <t>50</t>
  </si>
  <si>
    <t>290</t>
  </si>
  <si>
    <t>55</t>
  </si>
  <si>
    <t>Infiltration Trench:</t>
  </si>
  <si>
    <t>Constructed Wetland:</t>
  </si>
  <si>
    <r>
      <t>Volume</t>
    </r>
    <r>
      <rPr>
        <b/>
        <sz val="10.5"/>
        <rFont val="Arial"/>
        <family val="2"/>
      </rPr>
      <t xml:space="preserve"> </t>
    </r>
    <r>
      <rPr>
        <b/>
        <sz val="11"/>
        <rFont val="Arial"/>
        <family val="0"/>
      </rPr>
      <t xml:space="preserve">or Surface Area </t>
    </r>
    <r>
      <rPr>
        <b/>
        <sz val="10.5"/>
        <rFont val="Arial"/>
        <family val="2"/>
      </rPr>
      <t>of LID Practice</t>
    </r>
  </si>
  <si>
    <t>Directions:  Post Construction Best Management Practice (BMP) Costs can be</t>
  </si>
  <si>
    <t xml:space="preserve">     listed in the adjacent column (column F).   Cells G16 through G27 report the estimated total</t>
  </si>
  <si>
    <t xml:space="preserve">     cost for each selected BMP consistent with the volume or area values specificed in cells </t>
  </si>
  <si>
    <t xml:space="preserve">2:  The second approach allows the user to directly specify his/her estimate for each BMP </t>
  </si>
  <si>
    <t>Bioretention Area:</t>
  </si>
  <si>
    <t>Practice</t>
  </si>
  <si>
    <t xml:space="preserve">     default cost estimate for each BMP that the user provides a total cost value.</t>
  </si>
  <si>
    <r>
      <t xml:space="preserve">Indicate the number of links and nodes </t>
    </r>
    <r>
      <rPr>
        <b/>
        <i/>
        <sz val="11"/>
        <color indexed="8"/>
        <rFont val="Calibri"/>
        <family val="2"/>
      </rPr>
      <t>within</t>
    </r>
    <r>
      <rPr>
        <b/>
        <sz val="11"/>
        <color indexed="8"/>
        <rFont val="Calibri"/>
        <family val="2"/>
      </rPr>
      <t xml:space="preserve"> </t>
    </r>
    <r>
      <rPr>
        <sz val="11"/>
        <color indexed="8"/>
        <rFont val="Calibri"/>
        <family val="2"/>
      </rPr>
      <t xml:space="preserve">development.  </t>
    </r>
    <r>
      <rPr>
        <i/>
        <sz val="11"/>
        <color indexed="8"/>
        <rFont val="Calibri"/>
        <family val="2"/>
      </rPr>
      <t>(Points based on the ratio of links to nodes.  8 points for 1.3 ratio, 10 points for 1.6 or greater.)</t>
    </r>
  </si>
  <si>
    <t>Not applicable (0 points).</t>
  </si>
  <si>
    <t>Project is within a Priority Investment Area (10 points).</t>
  </si>
  <si>
    <t>Indicate if the project is within a Priority Investment Area.</t>
  </si>
  <si>
    <t>1. Project Location</t>
  </si>
  <si>
    <r>
      <t xml:space="preserve">Indicate average number of dwelling units per developable acre (round </t>
    </r>
    <r>
      <rPr>
        <b/>
        <sz val="11"/>
        <rFont val="Calibri"/>
        <family val="2"/>
      </rPr>
      <t>down</t>
    </r>
    <r>
      <rPr>
        <sz val="11"/>
        <rFont val="Calibri"/>
        <family val="2"/>
      </rPr>
      <t xml:space="preserve"> to the nearest whole number).</t>
    </r>
  </si>
  <si>
    <r>
      <t xml:space="preserve">Indicate the percent area of the site that is maintained as </t>
    </r>
    <r>
      <rPr>
        <b/>
        <sz val="11"/>
        <color indexed="62"/>
        <rFont val="Calibri"/>
        <family val="2"/>
      </rPr>
      <t>natural cover</t>
    </r>
    <r>
      <rPr>
        <sz val="11"/>
        <color indexed="8"/>
        <rFont val="Calibri"/>
        <family val="2"/>
      </rPr>
      <t>.  Natural cover will be maintained in good hydrological condition, and will generally be covered with trees, shrubs, undergrowth and ground story so that it will be in good hydrologic condition.</t>
    </r>
  </si>
  <si>
    <t>22. Phosphorus Factor (10 possible points)</t>
  </si>
  <si>
    <t>No measures for phosphorus control are applicable</t>
  </si>
  <si>
    <r>
      <rPr>
        <b/>
        <sz val="13"/>
        <rFont val="Calibri"/>
        <family val="2"/>
      </rPr>
      <t>lbs</t>
    </r>
    <r>
      <rPr>
        <sz val="11"/>
        <rFont val="Calibri"/>
        <family val="2"/>
      </rPr>
      <t xml:space="preserve"> of Phosphorus applied per 1,000 ft</t>
    </r>
    <r>
      <rPr>
        <vertAlign val="superscript"/>
        <sz val="11"/>
        <rFont val="Calibri"/>
        <family val="2"/>
      </rPr>
      <t xml:space="preserve">2 </t>
    </r>
    <r>
      <rPr>
        <sz val="11"/>
        <rFont val="Calibri"/>
        <family val="2"/>
      </rPr>
      <t>of landscaping, no more than once per year (If selected plant species do not require Phosphorus fertilizer, select 0 lbs.)</t>
    </r>
  </si>
  <si>
    <t>Indicate post-construction landscaping maintenance measures for phosphorus control (choose one of the following).</t>
  </si>
  <si>
    <t>developable acre</t>
  </si>
  <si>
    <t>Greenville County Stormwater Managemnent Ordinance</t>
  </si>
  <si>
    <t>good hydrologic condition</t>
  </si>
  <si>
    <t>Practices that enhance or encourage infiltration by either adding surface cover (i.e., vegetation or mulch), increasing the number or size of soil pores such as by adding coarser soil material, or changing the structure through deep tillage. Common infiltration BMPs would be bioretention cells, infiltration trenches, vegetative filters, enhance bioswales, natural cover, green roofs, or rain gardens.  Any inflitration practice must be protected from sediment buildup, particularly during and immediately after construction, since sediment will clog the pores and prevent infiltration.</t>
  </si>
  <si>
    <t>R.61-68, WATER CLASSIFICATIONS &amp; STANDARDS; http://www.epa.gov/waterscience/standards/wqslibrary/sc/sc_r6169fnl01.pdf</t>
  </si>
  <si>
    <t>Areas of existing forest cover that make up 10 acres in size.</t>
  </si>
  <si>
    <t xml:space="preserve">A wetland is an area that is regularly saturated by surface water or groundwater and is characterized by a prevalence of vegetation that is adapted for life in saturated soil conditions (EPA, 1994).  For the purpose of this tool, the following features are not considered wetlands that must be protected per this program: previously-developed land, or man-made stormwater detention or retention facilities.  </t>
  </si>
  <si>
    <t>Intermittent streams means streams that generally have defined natural watercourses which do not flow year round, but flow beyond periods of rainfall or snowmelt.</t>
  </si>
  <si>
    <t xml:space="preserve">1: The first approach requires the user to input the volume of each BMP practice that will </t>
  </si>
  <si>
    <t xml:space="preserve">     be used to achieve the total Site Score.   The appropriate volume is input in cells </t>
  </si>
  <si>
    <t xml:space="preserve">     E16 to E27 for each selected BMP (the yellow area). The unit measure for each BMP is</t>
  </si>
  <si>
    <t xml:space="preserve">The difference in BMP costs is calculated as the estimated LID BMP cost less the </t>
  </si>
  <si>
    <t xml:space="preserve">conventional BMP cost.  Thus, the user must calculate BMP cost for conventional </t>
  </si>
  <si>
    <t>perennial streams</t>
  </si>
  <si>
    <t xml:space="preserve">Indicate if the project is an infill site.  </t>
  </si>
  <si>
    <t>Confirm infrastructure capacity is available</t>
  </si>
  <si>
    <t>(List providers)</t>
  </si>
  <si>
    <t>(Justification)</t>
  </si>
  <si>
    <t>Average street width 20-22 feet (5 points).</t>
  </si>
  <si>
    <t>Average street width 22.1-24 feet (4 points).</t>
  </si>
  <si>
    <t>Project contains efficient/smart irrigation system or water reuse for outdoor landscaping (2 points)</t>
  </si>
  <si>
    <t>Project revegetates 100% of existing slopes with at least 75% native and/or non-invasive vegetation (5 points).</t>
  </si>
  <si>
    <r>
      <t xml:space="preserve">Indicate average street width (curb to curb) for streets </t>
    </r>
    <r>
      <rPr>
        <sz val="11"/>
        <color indexed="8"/>
        <rFont val="Calibri"/>
        <family val="2"/>
      </rPr>
      <t xml:space="preserve">without </t>
    </r>
    <r>
      <rPr>
        <sz val="11"/>
        <color indexed="8"/>
        <rFont val="Calibri"/>
        <family val="2"/>
      </rPr>
      <t xml:space="preserve">on-street parking (in feet). 
 </t>
    </r>
    <r>
      <rPr>
        <i/>
        <sz val="11"/>
        <color indexed="8"/>
        <rFont val="Calibri"/>
        <family val="2"/>
      </rPr>
      <t xml:space="preserve">*Subject to change with LDR updates. </t>
    </r>
    <r>
      <rPr>
        <sz val="11"/>
        <color indexed="8"/>
        <rFont val="Calibri"/>
        <family val="2"/>
      </rPr>
      <t xml:space="preserve"> </t>
    </r>
  </si>
  <si>
    <t>From residential access and subcollector (≤12 feet = 4 points; 13 to 20 feet = 3 points; &gt; 20 feet = 0 points).</t>
  </si>
  <si>
    <t>25. Brownfield</t>
  </si>
  <si>
    <t>Indicate that the project is designated as a brownfield site (70 points).</t>
  </si>
  <si>
    <t>Project site has available infrastructure capacity (10 points).</t>
  </si>
  <si>
    <t xml:space="preserve">Indicate if the project is on a site with available infrastructure capacity.  </t>
  </si>
  <si>
    <t>13. Reduce Pressure on Existing Infrastructure and Utility Providers</t>
  </si>
  <si>
    <t xml:space="preserve">    Reduction for Brownfield Site</t>
  </si>
  <si>
    <t>Project provides for homes to be built to higher fire safety standards than the code requires (5 points).</t>
  </si>
  <si>
    <r>
      <t xml:space="preserve">Indicate the number of </t>
    </r>
    <r>
      <rPr>
        <b/>
        <sz val="11"/>
        <color indexed="8"/>
        <rFont val="Calibri"/>
        <family val="2"/>
      </rPr>
      <t xml:space="preserve">qualifying </t>
    </r>
    <r>
      <rPr>
        <b/>
        <sz val="11"/>
        <color indexed="62"/>
        <rFont val="Calibri"/>
        <family val="2"/>
      </rPr>
      <t>intersections</t>
    </r>
    <r>
      <rPr>
        <sz val="11"/>
        <color indexed="8"/>
        <rFont val="Calibri"/>
        <family val="2"/>
      </rPr>
      <t xml:space="preserve"> within a half-mile radius outside of the project site.  Intersections serving as the only access to an area do not qualify, nor do any intersections within that area.  Intersections leading to cul-de-sacs consequently do not qualify.</t>
    </r>
  </si>
  <si>
    <r>
      <t xml:space="preserve">Project maintains that no structures are built in the </t>
    </r>
    <r>
      <rPr>
        <b/>
        <sz val="11"/>
        <color indexed="62"/>
        <rFont val="Calibri"/>
        <family val="2"/>
      </rPr>
      <t>floodplain</t>
    </r>
    <r>
      <rPr>
        <sz val="11"/>
        <color indexed="8"/>
        <rFont val="Calibri"/>
        <family val="2"/>
      </rPr>
      <t xml:space="preserve"> (5 points). </t>
    </r>
  </si>
  <si>
    <t>A ‘brownfield site' is “real property, the expansion, redevelopment, or reuse of which may be complicated by the presence or potential presence of a hazardous substance, pollutant, or contaminant.” Documented as contaminated or potentially contaminated (by means of an ASTM E1903-97 Phase II Environmental Site Assessment or a local Voluntary Cleanup Program), or a site defined as a brownfield by a local, state or federal governmental agency.</t>
  </si>
  <si>
    <t>Infiltration trenches are excavations typically filled with stone to create an underground reservoir for stormwater runoff. The runoff volume gradually exfiltrates through the bottom and sides of the trench into the subsoil over a maximum period of 72 hours (three days), and eventually reaches the water table. By diverting stormwater runoff into the soil, an infiltration trench not only treats the water quality volume, but it also preserves the natural water balance by recharging groundwater and preserving channel baseflow. Using natural filtering properties, infiltration trenches remove a wide variety of pollutants from the runoff through adsorption, precipitation, filtering, and bacterial and chemical degradation. An established infiltration trench has been installed according to design and is fully operational.</t>
  </si>
  <si>
    <t xml:space="preserve">link </t>
  </si>
  <si>
    <t>unbroken forest</t>
  </si>
  <si>
    <t>wet ponds</t>
  </si>
  <si>
    <t>wetlands</t>
  </si>
  <si>
    <t>wildlife habitat/ wildlife areas</t>
  </si>
  <si>
    <t>outstanding resource waters</t>
  </si>
  <si>
    <t>trout waters</t>
  </si>
  <si>
    <t>waters of the U.S.</t>
  </si>
  <si>
    <r>
      <t xml:space="preserve">Those sites that meet any </t>
    </r>
    <r>
      <rPr>
        <b/>
        <sz val="11"/>
        <rFont val="Calibri"/>
        <family val="2"/>
      </rPr>
      <t>1</t>
    </r>
    <r>
      <rPr>
        <sz val="11"/>
        <rFont val="Calibri"/>
        <family val="2"/>
      </rPr>
      <t xml:space="preserve"> of the following 3 conditions: </t>
    </r>
    <r>
      <rPr>
        <b/>
        <sz val="11"/>
        <rFont val="Calibri"/>
        <family val="2"/>
      </rPr>
      <t>(1)</t>
    </r>
    <r>
      <rPr>
        <sz val="11"/>
        <rFont val="Calibri"/>
        <family val="2"/>
      </rPr>
      <t xml:space="preserve"> at least 75% of its perimeter borders previously-developed parcels; </t>
    </r>
    <r>
      <rPr>
        <b/>
        <sz val="11"/>
        <rFont val="Calibri"/>
        <family val="2"/>
      </rPr>
      <t xml:space="preserve">(2) </t>
    </r>
    <r>
      <rPr>
        <sz val="11"/>
        <rFont val="Calibri"/>
        <family val="2"/>
      </rPr>
      <t xml:space="preserve">at least 75% of the land area, exclusive of rights-of-way, within a 1/2-mile distance from the project perimeter is previously-developed.  Lots smaller than 5 acres in size that are part of larger existing subdivisions qualify as being previously-developed land for the purposes of this criteria;  </t>
    </r>
    <r>
      <rPr>
        <b/>
        <sz val="11"/>
        <rFont val="Calibri"/>
        <family val="2"/>
      </rPr>
      <t>(3)</t>
    </r>
    <r>
      <rPr>
        <sz val="11"/>
        <rFont val="Calibri"/>
        <family val="2"/>
      </rPr>
      <t xml:space="preserve"> the area within a 1/2-mile radius of the project has an existing connectivity of at least 75 intersections.  For the purposes of this definition, streets and agricultural properties do not count as developed land.  For the purpose of this program, areas that have been developed by the same entity (developer) or affliates of the same entity within the past ten years cannot count as previously-developed land.</t>
    </r>
  </si>
  <si>
    <t>intersection</t>
  </si>
  <si>
    <t>All waters which are currently used, or were used in the past, or may be susceptible to use in interstate or foreign commerce, including all waters which are subject to the ebb and flow of the tide; All interstate waters including interstate wetlands; All other waters such as intrastate lakes, rivers, streams (including intermittent streams), mudflats, sandflats, wetlands, sloughs, prairiepotholes, wet meadows, playa lakes, or natural ponds, the use, degradation or destruction of which could affect interstate or foreign commerce including any such waters: (i) Which are or could be used by interstate or foreign travelers for recreational or other purposes; or (ii) From which fish or shellfish are or could be taken and sold in interstate or foreign commerce; or (iii) Which are used or could be used for industrial purposes by industries in interstate commerce; All impoundments of waters otherwise defined as waters of the United States under this definition; Tributaries of waters identified in paragraphs (s)(1) through (4) of this section; The territorial sea; Wetlands adjacent to waters (other than waters that are themselves wetlands) identified in paragraphs (s)(1) through (6) of this section; waste treatment systems, including treatment ponds or lagoons designed to meet the requirements of CWA (other than cooling ponds as defined in 40 CFR 423.11(m) which also meet the criteria of this definition) are not waters of the United States.</t>
  </si>
  <si>
    <t>Site Scale Impacts to Water Quality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</si>
</sst>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_(&quot;$&quot;* #,##0_);_(&quot;$&quot;* \(#,##0\);_(&quot;$&quot;* &quot;-&quot;??_);_(@_)"/>
    <numFmt numFmtId="168" formatCode="00000"/>
  </numFmts>
  <fonts count="93">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1"/>
      <color indexed="62"/>
      <name val="Calibri"/>
      <family val="2"/>
    </font>
    <font>
      <b/>
      <sz val="22"/>
      <color indexed="9"/>
      <name val="Arial Rounded MT Bold"/>
      <family val="2"/>
    </font>
    <font>
      <i/>
      <sz val="11"/>
      <color indexed="8"/>
      <name val="Calibri"/>
      <family val="2"/>
    </font>
    <font>
      <b/>
      <sz val="12"/>
      <color indexed="9"/>
      <name val="Calibri"/>
      <family val="2"/>
    </font>
    <font>
      <sz val="22"/>
      <name val="Calibri"/>
      <family val="2"/>
    </font>
    <font>
      <u val="single"/>
      <sz val="11"/>
      <color indexed="8"/>
      <name val="Calibri"/>
      <family val="2"/>
    </font>
    <font>
      <b/>
      <sz val="20"/>
      <color indexed="9"/>
      <name val="Arial Rounded MT Bold"/>
      <family val="2"/>
    </font>
    <font>
      <b/>
      <sz val="12"/>
      <color indexed="8"/>
      <name val="Calibri"/>
      <family val="2"/>
    </font>
    <font>
      <sz val="11"/>
      <name val="Calibri"/>
      <family val="2"/>
    </font>
    <font>
      <sz val="12"/>
      <name val="Calibri"/>
      <family val="0"/>
    </font>
    <font>
      <b/>
      <sz val="12"/>
      <name val="Arial"/>
      <family val="2"/>
    </font>
    <font>
      <sz val="12"/>
      <name val="Arial"/>
      <family val="0"/>
    </font>
    <font>
      <b/>
      <sz val="11"/>
      <color indexed="9"/>
      <name val="Calibri"/>
      <family val="2"/>
    </font>
    <font>
      <sz val="11"/>
      <color indexed="9"/>
      <name val="Calibri"/>
      <family val="2"/>
    </font>
    <font>
      <b/>
      <i/>
      <sz val="11"/>
      <color indexed="8"/>
      <name val="Calibri"/>
      <family val="2"/>
    </font>
    <font>
      <b/>
      <sz val="11"/>
      <name val="Calibri"/>
      <family val="2"/>
    </font>
    <font>
      <vertAlign val="superscript"/>
      <sz val="11"/>
      <name val="Calibri"/>
      <family val="2"/>
    </font>
    <font>
      <b/>
      <i/>
      <sz val="11"/>
      <name val="Calibri"/>
      <family val="2"/>
    </font>
    <font>
      <sz val="22"/>
      <color indexed="8"/>
      <name val="Calibri"/>
      <family val="2"/>
    </font>
    <font>
      <sz val="11"/>
      <name val="Garamond"/>
      <family val="1"/>
    </font>
    <font>
      <sz val="12"/>
      <name val="Times New Roman"/>
      <family val="1"/>
    </font>
    <font>
      <sz val="11"/>
      <name val="Times-Roman"/>
      <family val="1"/>
    </font>
    <font>
      <sz val="10.5"/>
      <name val="Arial"/>
      <family val="2"/>
    </font>
    <font>
      <sz val="11"/>
      <name val="Arial"/>
      <family val="0"/>
    </font>
    <font>
      <b/>
      <sz val="10.5"/>
      <name val="Arial"/>
      <family val="2"/>
    </font>
    <font>
      <b/>
      <sz val="11"/>
      <name val="Arial"/>
      <family val="0"/>
    </font>
    <font>
      <b/>
      <sz val="14"/>
      <name val="Arial"/>
      <family val="2"/>
    </font>
    <font>
      <sz val="10.5"/>
      <name val="Garamond"/>
      <family val="1"/>
    </font>
    <font>
      <sz val="10"/>
      <name val="Arial"/>
      <family val="2"/>
    </font>
    <font>
      <b/>
      <sz val="10"/>
      <name val="Arial"/>
      <family val="2"/>
    </font>
    <font>
      <b/>
      <vertAlign val="superscript"/>
      <sz val="10.5"/>
      <name val="Arial"/>
      <family val="2"/>
    </font>
    <font>
      <b/>
      <sz val="10.5"/>
      <name val="Garamond"/>
      <family val="1"/>
    </font>
    <font>
      <u val="single"/>
      <sz val="10"/>
      <color indexed="12"/>
      <name val="Arial"/>
      <family val="2"/>
    </font>
    <font>
      <i/>
      <sz val="12"/>
      <name val="Times New Roman"/>
      <family val="1"/>
    </font>
    <font>
      <i/>
      <sz val="11"/>
      <name val="Arial"/>
      <family val="2"/>
    </font>
    <font>
      <b/>
      <sz val="11"/>
      <color indexed="10"/>
      <name val="Calibri"/>
      <family val="2"/>
    </font>
    <font>
      <b/>
      <sz val="11"/>
      <color indexed="8"/>
      <name val="Arial"/>
      <family val="2"/>
    </font>
    <font>
      <b/>
      <sz val="14"/>
      <color indexed="9"/>
      <name val="Calibri"/>
      <family val="2"/>
    </font>
    <font>
      <sz val="14"/>
      <name val="Garamond"/>
      <family val="1"/>
    </font>
    <font>
      <sz val="13"/>
      <color indexed="8"/>
      <name val="Calibri"/>
      <family val="2"/>
    </font>
    <font>
      <b/>
      <sz val="13"/>
      <color indexed="8"/>
      <name val="Calibri"/>
      <family val="2"/>
    </font>
    <font>
      <b/>
      <sz val="13"/>
      <name val="Calibri"/>
      <family val="2"/>
    </font>
    <font>
      <b/>
      <sz val="22"/>
      <color indexed="9"/>
      <name val="Calibri"/>
      <family val="2"/>
    </font>
    <font>
      <sz val="10.5"/>
      <name val="Cambria"/>
      <family val="1"/>
    </font>
    <font>
      <b/>
      <sz val="12"/>
      <name val="Cambria"/>
      <family val="1"/>
    </font>
    <font>
      <sz val="12"/>
      <name val="Cambria"/>
      <family val="1"/>
    </font>
    <font>
      <b/>
      <sz val="10.5"/>
      <name val="Cambria"/>
      <family val="1"/>
    </font>
    <font>
      <b/>
      <sz val="11"/>
      <name val="Cambria"/>
      <family val="1"/>
    </font>
    <font>
      <sz val="9"/>
      <name val="Calibri"/>
      <family val="2"/>
    </font>
    <font>
      <b/>
      <sz val="11"/>
      <color indexed="62"/>
      <name val="Calibri"/>
      <family val="2"/>
    </font>
    <font>
      <sz val="8"/>
      <name val="Verdana"/>
      <family val="0"/>
    </font>
    <font>
      <sz val="8"/>
      <color indexed="8"/>
      <name val="Tahoma"/>
      <family val="2"/>
    </font>
    <font>
      <u val="single"/>
      <sz val="11"/>
      <color indexed="61"/>
      <name val="Calibri"/>
      <family val="2"/>
    </font>
    <font>
      <b/>
      <sz val="12"/>
      <name val="Calibri"/>
      <family val="0"/>
    </font>
    <font>
      <b/>
      <sz val="18"/>
      <color indexed="9"/>
      <name val="Calibri"/>
      <family val="2"/>
    </font>
    <font>
      <sz val="12"/>
      <color indexed="9"/>
      <name val="Calibri"/>
      <family val="2"/>
    </font>
    <font>
      <b/>
      <u val="single"/>
      <sz val="13"/>
      <color indexed="8"/>
      <name val="Calibri"/>
      <family val="2"/>
    </font>
    <font>
      <b/>
      <sz val="26"/>
      <color indexed="9"/>
      <name val="Calibri"/>
      <family val="2"/>
    </font>
    <font>
      <sz val="8"/>
      <name val="Tahoma"/>
      <family val="2"/>
    </font>
    <font>
      <b/>
      <sz val="9"/>
      <name val="Calibri"/>
      <family val="2"/>
    </font>
    <font>
      <strike/>
      <sz val="11"/>
      <name val="Arial"/>
      <family val="2"/>
    </font>
    <font>
      <b/>
      <vertAlign val="superscript"/>
      <sz val="11"/>
      <name val="Arial"/>
      <family val="2"/>
    </font>
    <font>
      <strike/>
      <sz val="11"/>
      <color indexed="10"/>
      <name val="Arial"/>
      <family val="2"/>
    </font>
    <font>
      <sz val="10"/>
      <name val="Geneva"/>
      <family val="0"/>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8"/>
        <bgColor indexed="64"/>
      </patternFill>
    </fill>
    <fill>
      <patternFill patternType="solid">
        <fgColor indexed="27"/>
        <bgColor indexed="64"/>
      </patternFill>
    </fill>
    <fill>
      <patternFill patternType="solid">
        <fgColor indexed="11"/>
        <bgColor indexed="64"/>
      </patternFill>
    </fill>
    <fill>
      <patternFill patternType="solid">
        <fgColor indexed="50"/>
        <bgColor indexed="64"/>
      </patternFill>
    </fill>
    <fill>
      <patternFill patternType="solid">
        <fgColor indexed="56"/>
        <bgColor indexed="64"/>
      </patternFill>
    </fill>
    <fill>
      <patternFill patternType="solid">
        <fgColor indexed="18"/>
        <bgColor indexed="64"/>
      </patternFill>
    </fill>
    <fill>
      <patternFill patternType="solid">
        <fgColor indexed="12"/>
        <bgColor indexed="64"/>
      </patternFill>
    </fill>
    <fill>
      <patternFill patternType="solid">
        <fgColor rgb="FF1FB714"/>
        <bgColor indexed="64"/>
      </patternFill>
    </fill>
    <fill>
      <patternFill patternType="solid">
        <fgColor rgb="FF99CC00"/>
        <bgColor indexed="64"/>
      </patternFill>
    </fill>
    <fill>
      <patternFill patternType="solid">
        <fgColor rgb="FF00009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thin"/>
      <top>
        <color indexed="63"/>
      </top>
      <bottom style="thin"/>
    </border>
    <border>
      <left style="thin"/>
      <right style="thin"/>
      <top style="thin"/>
      <bottom style="thick"/>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thin">
        <color indexed="23"/>
      </left>
      <right style="medium"/>
      <top>
        <color indexed="63"/>
      </top>
      <bottom>
        <color indexed="63"/>
      </bottom>
    </border>
    <border>
      <left style="thin">
        <color indexed="23"/>
      </left>
      <right>
        <color indexed="6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right style="medium"/>
      <top>
        <color indexed="63"/>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style="thin"/>
      <right style="thin"/>
      <top style="thin"/>
      <bottom>
        <color indexed="63"/>
      </bottom>
    </border>
    <border>
      <left>
        <color indexed="63"/>
      </left>
      <right>
        <color indexed="63"/>
      </right>
      <top style="thin"/>
      <bottom style="thin"/>
    </border>
    <border>
      <left style="thin"/>
      <right style="thin">
        <color indexed="23"/>
      </right>
      <top style="thin">
        <color indexed="23"/>
      </top>
      <bottom style="thin">
        <color indexed="23"/>
      </bottom>
    </border>
    <border>
      <left style="thin"/>
      <right style="thin">
        <color indexed="23"/>
      </right>
      <top style="thin">
        <color indexed="23"/>
      </top>
      <bottom style="medium"/>
    </border>
    <border>
      <left style="thin">
        <color indexed="23"/>
      </left>
      <right>
        <color indexed="63"/>
      </right>
      <top style="thin">
        <color indexed="23"/>
      </top>
      <bottom style="medium"/>
    </border>
    <border>
      <left style="thin"/>
      <right style="medium"/>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23"/>
      </left>
      <right style="thin">
        <color indexed="23"/>
      </right>
      <top>
        <color indexed="63"/>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2"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4" borderId="0" applyNumberFormat="0" applyBorder="0" applyAlignment="0" applyProtection="0"/>
    <xf numFmtId="0" fontId="80" fillId="7" borderId="0" applyNumberFormat="0" applyBorder="0" applyAlignment="0" applyProtection="0"/>
    <xf numFmtId="0" fontId="80" fillId="9" borderId="0" applyNumberFormat="0" applyBorder="0" applyAlignment="0" applyProtection="0"/>
    <xf numFmtId="0" fontId="80" fillId="3"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4" borderId="0" applyNumberFormat="0" applyBorder="0" applyAlignment="0" applyProtection="0"/>
    <xf numFmtId="0" fontId="81" fillId="7" borderId="0" applyNumberFormat="0" applyBorder="0" applyAlignment="0" applyProtection="0"/>
    <xf numFmtId="0" fontId="81" fillId="12" borderId="0" applyNumberFormat="0" applyBorder="0" applyAlignment="0" applyProtection="0"/>
    <xf numFmtId="0" fontId="81" fillId="3" borderId="0" applyNumberFormat="0" applyBorder="0" applyAlignment="0" applyProtection="0"/>
    <xf numFmtId="0" fontId="81" fillId="10"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2" fillId="18" borderId="0" applyNumberFormat="0" applyBorder="0" applyAlignment="0" applyProtection="0"/>
    <xf numFmtId="0" fontId="83" fillId="2" borderId="1" applyNumberFormat="0" applyAlignment="0" applyProtection="0"/>
    <xf numFmtId="0" fontId="8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0" borderId="0" applyNumberFormat="0" applyFill="0" applyBorder="0" applyAlignment="0" applyProtection="0"/>
    <xf numFmtId="0" fontId="57" fillId="0" borderId="0" applyNumberFormat="0" applyFill="0" applyBorder="0" applyAlignment="0" applyProtection="0"/>
    <xf numFmtId="0" fontId="86" fillId="20"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 fillId="3" borderId="6" applyNumberFormat="0" applyAlignment="0" applyProtection="0"/>
    <xf numFmtId="0" fontId="87" fillId="0" borderId="7" applyNumberFormat="0" applyFill="0" applyAlignment="0" applyProtection="0"/>
    <xf numFmtId="0" fontId="88" fillId="2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22" borderId="8" applyNumberFormat="0" applyFont="0" applyAlignment="0" applyProtection="0"/>
    <xf numFmtId="0" fontId="89" fillId="2"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90" fillId="0" borderId="10" applyNumberFormat="0" applyFill="0" applyAlignment="0" applyProtection="0"/>
    <xf numFmtId="0" fontId="91" fillId="0" borderId="0" applyNumberFormat="0" applyFill="0" applyBorder="0" applyAlignment="0" applyProtection="0"/>
  </cellStyleXfs>
  <cellXfs count="439">
    <xf numFmtId="0" fontId="0" fillId="0" borderId="0" xfId="0" applyAlignment="1">
      <alignment/>
    </xf>
    <xf numFmtId="0" fontId="4" fillId="0" borderId="0" xfId="0" applyFont="1" applyAlignment="1">
      <alignment/>
    </xf>
    <xf numFmtId="0" fontId="0" fillId="0" borderId="0" xfId="0" applyAlignment="1">
      <alignment horizontal="center" vertical="center" wrapText="1"/>
    </xf>
    <xf numFmtId="0" fontId="10" fillId="0" borderId="0" xfId="0" applyFont="1" applyAlignment="1">
      <alignment horizontal="center" vertical="center" wrapText="1"/>
    </xf>
    <xf numFmtId="0" fontId="0" fillId="23" borderId="0" xfId="0" applyFill="1" applyAlignment="1">
      <alignment/>
    </xf>
    <xf numFmtId="0" fontId="0" fillId="0" borderId="0" xfId="0" applyFill="1" applyBorder="1" applyAlignment="1">
      <alignment/>
    </xf>
    <xf numFmtId="0" fontId="0" fillId="0" borderId="0" xfId="0" applyFill="1" applyAlignment="1">
      <alignment wrapText="1"/>
    </xf>
    <xf numFmtId="0" fontId="0" fillId="0" borderId="0" xfId="0" applyFill="1" applyAlignment="1">
      <alignment/>
    </xf>
    <xf numFmtId="0" fontId="24" fillId="0" borderId="0" xfId="0" applyFont="1" applyAlignment="1">
      <alignment wrapText="1"/>
    </xf>
    <xf numFmtId="0" fontId="26" fillId="0" borderId="0" xfId="0" applyFont="1" applyAlignment="1">
      <alignment wrapText="1"/>
    </xf>
    <xf numFmtId="0" fontId="30" fillId="0" borderId="0" xfId="0" applyFont="1" applyFill="1" applyBorder="1" applyAlignment="1" applyProtection="1">
      <alignment/>
      <protection/>
    </xf>
    <xf numFmtId="0" fontId="27" fillId="0" borderId="11" xfId="0" applyFont="1" applyBorder="1" applyAlignment="1" applyProtection="1">
      <alignment/>
      <protection/>
    </xf>
    <xf numFmtId="0" fontId="29" fillId="0" borderId="12" xfId="0" applyFont="1" applyBorder="1" applyAlignment="1" applyProtection="1">
      <alignment horizontal="center" wrapText="1"/>
      <protection/>
    </xf>
    <xf numFmtId="0" fontId="27" fillId="0" borderId="13" xfId="0" applyFont="1" applyBorder="1" applyAlignment="1" applyProtection="1">
      <alignment horizontal="center"/>
      <protection/>
    </xf>
    <xf numFmtId="0" fontId="34" fillId="0" borderId="14" xfId="0" applyFont="1" applyFill="1" applyBorder="1" applyAlignment="1" applyProtection="1">
      <alignment horizontal="left" vertical="center" wrapText="1"/>
      <protection/>
    </xf>
    <xf numFmtId="0" fontId="20" fillId="0" borderId="0" xfId="72" applyFont="1" applyBorder="1" applyAlignment="1">
      <alignment horizontal="center"/>
      <protection/>
    </xf>
    <xf numFmtId="0" fontId="20" fillId="0" borderId="0" xfId="72" applyFont="1" applyFill="1" applyBorder="1" applyAlignment="1">
      <alignment horizontal="center"/>
      <protection/>
    </xf>
    <xf numFmtId="167" fontId="20" fillId="0" borderId="0" xfId="46" applyNumberFormat="1" applyFont="1" applyBorder="1" applyAlignment="1">
      <alignment/>
    </xf>
    <xf numFmtId="0" fontId="20" fillId="0" borderId="0" xfId="72" applyFont="1" applyBorder="1">
      <alignment/>
      <protection/>
    </xf>
    <xf numFmtId="0" fontId="28" fillId="0" borderId="0" xfId="0" applyFont="1" applyBorder="1" applyAlignment="1" applyProtection="1">
      <alignment horizontal="center"/>
      <protection/>
    </xf>
    <xf numFmtId="0" fontId="27" fillId="0" borderId="11" xfId="0" applyFont="1" applyBorder="1" applyAlignment="1" applyProtection="1">
      <alignment horizontal="center"/>
      <protection/>
    </xf>
    <xf numFmtId="0" fontId="27" fillId="0" borderId="0" xfId="0" applyFont="1" applyFill="1" applyBorder="1" applyAlignment="1" applyProtection="1">
      <alignment/>
      <protection/>
    </xf>
    <xf numFmtId="0" fontId="27" fillId="0" borderId="0" xfId="0" applyFont="1" applyFill="1" applyBorder="1" applyAlignment="1" applyProtection="1">
      <alignment wrapText="1"/>
      <protection/>
    </xf>
    <xf numFmtId="0" fontId="27" fillId="0" borderId="15" xfId="0" applyFont="1" applyBorder="1" applyAlignment="1" applyProtection="1">
      <alignment/>
      <protection/>
    </xf>
    <xf numFmtId="0" fontId="28" fillId="0" borderId="0" xfId="0" applyFont="1" applyFill="1" applyBorder="1" applyAlignment="1" applyProtection="1">
      <alignment/>
      <protection/>
    </xf>
    <xf numFmtId="2" fontId="27" fillId="0" borderId="0" xfId="0" applyNumberFormat="1" applyFont="1" applyFill="1" applyBorder="1" applyAlignment="1" applyProtection="1">
      <alignment horizontal="center"/>
      <protection/>
    </xf>
    <xf numFmtId="0" fontId="29" fillId="0" borderId="0" xfId="0" applyFont="1" applyFill="1" applyBorder="1" applyAlignment="1" applyProtection="1">
      <alignment/>
      <protection/>
    </xf>
    <xf numFmtId="164" fontId="29" fillId="0" borderId="0" xfId="0" applyNumberFormat="1" applyFont="1" applyFill="1" applyBorder="1" applyAlignment="1" applyProtection="1" quotePrefix="1">
      <alignment horizontal="left"/>
      <protection/>
    </xf>
    <xf numFmtId="1" fontId="29" fillId="0" borderId="0" xfId="0" applyNumberFormat="1" applyFont="1" applyFill="1" applyBorder="1" applyAlignment="1" applyProtection="1">
      <alignment horizontal="center"/>
      <protection/>
    </xf>
    <xf numFmtId="0" fontId="20" fillId="0" borderId="11" xfId="0" applyFont="1" applyBorder="1" applyAlignment="1" applyProtection="1">
      <alignment/>
      <protection/>
    </xf>
    <xf numFmtId="167" fontId="20" fillId="0" borderId="0" xfId="44" applyNumberFormat="1" applyFont="1" applyBorder="1" applyAlignment="1" applyProtection="1">
      <alignment/>
      <protection/>
    </xf>
    <xf numFmtId="0" fontId="20" fillId="0" borderId="0" xfId="0" applyFont="1" applyBorder="1" applyAlignment="1" applyProtection="1">
      <alignment/>
      <protection/>
    </xf>
    <xf numFmtId="0" fontId="20" fillId="0" borderId="0" xfId="0" applyFont="1" applyFill="1" applyBorder="1" applyAlignment="1" applyProtection="1">
      <alignment/>
      <protection/>
    </xf>
    <xf numFmtId="167" fontId="20" fillId="0" borderId="0" xfId="0" applyNumberFormat="1" applyFont="1" applyBorder="1" applyAlignment="1" applyProtection="1">
      <alignment/>
      <protection/>
    </xf>
    <xf numFmtId="0" fontId="20" fillId="0" borderId="16" xfId="0" applyFont="1" applyBorder="1" applyAlignment="1" applyProtection="1">
      <alignment/>
      <protection/>
    </xf>
    <xf numFmtId="167" fontId="20" fillId="0" borderId="17" xfId="0" applyNumberFormat="1" applyFont="1" applyBorder="1" applyAlignment="1" applyProtection="1">
      <alignment/>
      <protection/>
    </xf>
    <xf numFmtId="0" fontId="13" fillId="0" borderId="17" xfId="0" applyFont="1" applyBorder="1" applyAlignment="1" applyProtection="1">
      <alignment/>
      <protection/>
    </xf>
    <xf numFmtId="0" fontId="13" fillId="0" borderId="18" xfId="0" applyFont="1" applyBorder="1" applyAlignment="1" applyProtection="1">
      <alignment/>
      <protection/>
    </xf>
    <xf numFmtId="0" fontId="16" fillId="0" borderId="0" xfId="0" applyFont="1" applyAlignment="1" applyProtection="1">
      <alignment/>
      <protection/>
    </xf>
    <xf numFmtId="0" fontId="27" fillId="0" borderId="0" xfId="0" applyFont="1" applyAlignment="1" applyProtection="1">
      <alignment/>
      <protection/>
    </xf>
    <xf numFmtId="0" fontId="16" fillId="0" borderId="0" xfId="0" applyFont="1" applyAlignment="1" applyProtection="1">
      <alignment wrapText="1"/>
      <protection/>
    </xf>
    <xf numFmtId="0" fontId="27" fillId="0" borderId="0" xfId="0" applyFont="1" applyAlignment="1" applyProtection="1">
      <alignment/>
      <protection/>
    </xf>
    <xf numFmtId="0" fontId="28" fillId="0" borderId="0" xfId="0" applyFont="1" applyAlignment="1" applyProtection="1">
      <alignment/>
      <protection/>
    </xf>
    <xf numFmtId="0" fontId="27" fillId="0" borderId="0" xfId="0" applyFont="1" applyAlignment="1" applyProtection="1">
      <alignment wrapText="1"/>
      <protection/>
    </xf>
    <xf numFmtId="0" fontId="27" fillId="0" borderId="0" xfId="0" applyFont="1" applyAlignment="1" applyProtection="1">
      <alignment horizontal="center"/>
      <protection/>
    </xf>
    <xf numFmtId="0" fontId="29" fillId="24" borderId="19" xfId="0" applyFont="1" applyFill="1" applyBorder="1" applyAlignment="1" applyProtection="1">
      <alignment/>
      <protection/>
    </xf>
    <xf numFmtId="0" fontId="31" fillId="25" borderId="0" xfId="0" applyFont="1" applyFill="1" applyAlignment="1" applyProtection="1">
      <alignment/>
      <protection/>
    </xf>
    <xf numFmtId="0" fontId="31" fillId="25" borderId="0" xfId="0" applyFont="1" applyFill="1" applyAlignment="1" applyProtection="1">
      <alignment horizontal="centerContinuous" wrapText="1"/>
      <protection/>
    </xf>
    <xf numFmtId="0" fontId="32" fillId="0" borderId="0" xfId="0" applyFont="1" applyAlignment="1" applyProtection="1">
      <alignment horizontal="center" wrapText="1"/>
      <protection/>
    </xf>
    <xf numFmtId="0" fontId="32" fillId="0" borderId="0" xfId="0" applyFont="1" applyAlignment="1" applyProtection="1">
      <alignment horizontal="center"/>
      <protection/>
    </xf>
    <xf numFmtId="0" fontId="4" fillId="0" borderId="16" xfId="72" applyFont="1" applyBorder="1">
      <alignment/>
      <protection/>
    </xf>
    <xf numFmtId="0" fontId="4" fillId="24" borderId="16" xfId="72" applyFont="1" applyFill="1" applyBorder="1">
      <alignment/>
      <protection/>
    </xf>
    <xf numFmtId="0" fontId="4" fillId="0" borderId="11" xfId="72" applyFont="1" applyFill="1" applyBorder="1">
      <alignment/>
      <protection/>
    </xf>
    <xf numFmtId="0" fontId="4" fillId="0" borderId="0" xfId="72" applyFont="1" applyBorder="1" applyAlignment="1">
      <alignment horizontal="center"/>
      <protection/>
    </xf>
    <xf numFmtId="0" fontId="4" fillId="0" borderId="0" xfId="72" applyFont="1" applyBorder="1">
      <alignment/>
      <protection/>
    </xf>
    <xf numFmtId="0" fontId="4" fillId="0" borderId="11" xfId="72" applyFont="1" applyBorder="1">
      <alignment/>
      <protection/>
    </xf>
    <xf numFmtId="0" fontId="4" fillId="26" borderId="20" xfId="72" applyFont="1" applyFill="1" applyBorder="1">
      <alignment/>
      <protection/>
    </xf>
    <xf numFmtId="167" fontId="40" fillId="26" borderId="0" xfId="46" applyNumberFormat="1" applyFont="1" applyFill="1" applyBorder="1" applyAlignment="1">
      <alignment horizontal="center"/>
    </xf>
    <xf numFmtId="9" fontId="4" fillId="0" borderId="0" xfId="76" applyFont="1" applyFill="1" applyBorder="1" applyAlignment="1">
      <alignment horizontal="center"/>
    </xf>
    <xf numFmtId="9" fontId="40" fillId="26" borderId="0" xfId="76" applyFont="1" applyFill="1" applyBorder="1" applyAlignment="1">
      <alignment horizontal="center"/>
    </xf>
    <xf numFmtId="9" fontId="4" fillId="0" borderId="0" xfId="76" applyFont="1" applyBorder="1" applyAlignment="1">
      <alignment horizontal="center"/>
    </xf>
    <xf numFmtId="0" fontId="0" fillId="0" borderId="0" xfId="72" applyFont="1" applyBorder="1">
      <alignment/>
      <protection/>
    </xf>
    <xf numFmtId="0" fontId="32" fillId="27" borderId="15" xfId="0" applyFont="1" applyFill="1" applyBorder="1" applyAlignment="1" applyProtection="1">
      <alignment horizontal="center"/>
      <protection/>
    </xf>
    <xf numFmtId="0" fontId="32" fillId="27" borderId="21" xfId="0" applyFont="1" applyFill="1" applyBorder="1" applyAlignment="1" applyProtection="1">
      <alignment horizontal="center"/>
      <protection/>
    </xf>
    <xf numFmtId="164" fontId="32" fillId="27" borderId="21" xfId="0" applyNumberFormat="1" applyFont="1" applyFill="1" applyBorder="1" applyAlignment="1" applyProtection="1">
      <alignment horizontal="center"/>
      <protection/>
    </xf>
    <xf numFmtId="3" fontId="36" fillId="25" borderId="15" xfId="0" applyNumberFormat="1" applyFont="1" applyFill="1" applyBorder="1" applyAlignment="1" applyProtection="1">
      <alignment horizontal="center"/>
      <protection/>
    </xf>
    <xf numFmtId="0" fontId="29" fillId="23" borderId="0" xfId="0" applyFont="1" applyFill="1" applyAlignment="1" applyProtection="1">
      <alignment horizontal="center"/>
      <protection/>
    </xf>
    <xf numFmtId="0" fontId="29" fillId="28" borderId="0" xfId="0" applyFont="1" applyFill="1" applyAlignment="1" applyProtection="1">
      <alignment horizontal="center"/>
      <protection/>
    </xf>
    <xf numFmtId="9" fontId="40" fillId="0" borderId="0" xfId="76" applyFont="1" applyBorder="1" applyAlignment="1">
      <alignment horizontal="center"/>
    </xf>
    <xf numFmtId="0" fontId="4" fillId="0" borderId="0" xfId="0" applyFont="1" applyBorder="1" applyAlignment="1" applyProtection="1">
      <alignment/>
      <protection/>
    </xf>
    <xf numFmtId="9" fontId="40" fillId="23" borderId="0" xfId="75" applyFont="1" applyFill="1" applyBorder="1" applyAlignment="1" applyProtection="1">
      <alignment horizontal="center"/>
      <protection/>
    </xf>
    <xf numFmtId="9" fontId="40" fillId="0" borderId="0" xfId="75" applyFont="1" applyBorder="1" applyAlignment="1" applyProtection="1">
      <alignment horizontal="center"/>
      <protection/>
    </xf>
    <xf numFmtId="0" fontId="0" fillId="0" borderId="0" xfId="0" applyFont="1" applyBorder="1" applyAlignment="1" applyProtection="1">
      <alignment/>
      <protection/>
    </xf>
    <xf numFmtId="167" fontId="4" fillId="0" borderId="0" xfId="72" applyNumberFormat="1" applyFont="1" applyBorder="1">
      <alignment/>
      <protection/>
    </xf>
    <xf numFmtId="167" fontId="4" fillId="0" borderId="0" xfId="46" applyNumberFormat="1" applyFont="1" applyBorder="1" applyAlignment="1">
      <alignment/>
    </xf>
    <xf numFmtId="0" fontId="29" fillId="0" borderId="0" xfId="0" applyFont="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167" fontId="4" fillId="0" borderId="0" xfId="46" applyNumberFormat="1" applyFont="1" applyBorder="1" applyAlignment="1">
      <alignment/>
    </xf>
    <xf numFmtId="0" fontId="29" fillId="0" borderId="0" xfId="0" applyFont="1" applyAlignment="1" applyProtection="1">
      <alignment horizontal="left"/>
      <protection/>
    </xf>
    <xf numFmtId="0" fontId="4" fillId="0" borderId="22" xfId="0" applyFont="1" applyFill="1" applyBorder="1" applyAlignment="1" applyProtection="1">
      <alignment/>
      <protection/>
    </xf>
    <xf numFmtId="1" fontId="40" fillId="0" borderId="22" xfId="44" applyNumberFormat="1" applyFont="1" applyFill="1" applyBorder="1" applyAlignment="1" applyProtection="1">
      <alignment horizontal="center"/>
      <protection/>
    </xf>
    <xf numFmtId="167" fontId="4" fillId="0" borderId="0" xfId="44" applyNumberFormat="1" applyFont="1" applyFill="1" applyBorder="1" applyAlignment="1" applyProtection="1">
      <alignment/>
      <protection/>
    </xf>
    <xf numFmtId="167" fontId="4" fillId="0" borderId="0" xfId="0" applyNumberFormat="1" applyFont="1" applyFill="1" applyBorder="1" applyAlignment="1" applyProtection="1">
      <alignment/>
      <protection/>
    </xf>
    <xf numFmtId="167" fontId="4" fillId="26" borderId="0" xfId="72" applyNumberFormat="1" applyFont="1" applyFill="1" applyBorder="1">
      <alignment/>
      <protection/>
    </xf>
    <xf numFmtId="0" fontId="41" fillId="0" borderId="0" xfId="0" applyFont="1" applyFill="1" applyBorder="1" applyAlignment="1" applyProtection="1">
      <alignment/>
      <protection/>
    </xf>
    <xf numFmtId="0" fontId="40" fillId="0" borderId="0" xfId="0" applyFont="1" applyFill="1" applyBorder="1" applyAlignment="1" applyProtection="1">
      <alignment horizontal="center"/>
      <protection/>
    </xf>
    <xf numFmtId="0" fontId="38" fillId="0" borderId="0" xfId="68" applyFont="1" applyAlignment="1">
      <alignment horizontal="left" indent="1"/>
      <protection/>
    </xf>
    <xf numFmtId="0" fontId="25" fillId="0" borderId="0" xfId="0" applyFont="1" applyAlignment="1" applyProtection="1">
      <alignment/>
      <protection/>
    </xf>
    <xf numFmtId="0" fontId="38" fillId="0" borderId="0" xfId="69" applyFont="1" applyAlignment="1">
      <alignment horizontal="left" indent="1"/>
      <protection/>
    </xf>
    <xf numFmtId="0" fontId="38" fillId="0" borderId="0" xfId="0" applyFont="1" applyAlignment="1" applyProtection="1">
      <alignment/>
      <protection/>
    </xf>
    <xf numFmtId="0" fontId="38" fillId="0" borderId="0" xfId="66" applyFont="1" applyAlignment="1">
      <alignment horizontal="left" indent="1"/>
      <protection/>
    </xf>
    <xf numFmtId="0" fontId="38" fillId="0" borderId="0" xfId="70" applyFont="1" applyAlignment="1">
      <alignment horizontal="left" indent="1"/>
      <protection/>
    </xf>
    <xf numFmtId="0" fontId="38" fillId="0" borderId="0" xfId="60" applyFont="1" applyAlignment="1">
      <alignment horizontal="left" indent="1"/>
      <protection/>
    </xf>
    <xf numFmtId="0" fontId="38" fillId="0" borderId="0" xfId="61" applyFont="1" applyAlignment="1">
      <alignment horizontal="left" indent="1"/>
      <protection/>
    </xf>
    <xf numFmtId="167" fontId="40" fillId="0" borderId="0" xfId="44" applyNumberFormat="1" applyFont="1" applyFill="1" applyBorder="1" applyAlignment="1" applyProtection="1">
      <alignment horizontal="center"/>
      <protection/>
    </xf>
    <xf numFmtId="9" fontId="40" fillId="0" borderId="0" xfId="75" applyFont="1" applyFill="1" applyBorder="1" applyAlignment="1" applyProtection="1">
      <alignment horizontal="center"/>
      <protection/>
    </xf>
    <xf numFmtId="0" fontId="38" fillId="0" borderId="0" xfId="62" applyFont="1" applyAlignment="1">
      <alignment horizontal="left" indent="1"/>
      <protection/>
    </xf>
    <xf numFmtId="0" fontId="38" fillId="0" borderId="0" xfId="63" applyFont="1" applyAlignment="1">
      <alignment horizontal="left" indent="1"/>
      <protection/>
    </xf>
    <xf numFmtId="167" fontId="4" fillId="0" borderId="0" xfId="44" applyNumberFormat="1" applyFont="1" applyFill="1" applyBorder="1" applyAlignment="1" applyProtection="1">
      <alignment/>
      <protection/>
    </xf>
    <xf numFmtId="0" fontId="39" fillId="0" borderId="0" xfId="0" applyFont="1" applyAlignment="1" applyProtection="1">
      <alignment/>
      <protection/>
    </xf>
    <xf numFmtId="0" fontId="30" fillId="0" borderId="0" xfId="0" applyFont="1" applyAlignment="1" applyProtection="1">
      <alignment/>
      <protection/>
    </xf>
    <xf numFmtId="0" fontId="38" fillId="0" borderId="0" xfId="64" applyFont="1" applyAlignment="1">
      <alignment horizontal="left" indent="1"/>
      <protection/>
    </xf>
    <xf numFmtId="0" fontId="38" fillId="0" borderId="0" xfId="65" applyFont="1" applyAlignment="1">
      <alignment horizontal="left" indent="1"/>
      <protection/>
    </xf>
    <xf numFmtId="0" fontId="38" fillId="0" borderId="0" xfId="58" applyFont="1">
      <alignment/>
      <protection/>
    </xf>
    <xf numFmtId="0" fontId="38" fillId="0" borderId="0" xfId="59" applyFont="1" applyAlignment="1">
      <alignment horizontal="left"/>
      <protection/>
    </xf>
    <xf numFmtId="0" fontId="43" fillId="0" borderId="0" xfId="0" applyFont="1" applyAlignment="1">
      <alignment horizontal="center" wrapText="1"/>
    </xf>
    <xf numFmtId="0" fontId="0" fillId="0" borderId="0" xfId="0" applyFont="1" applyAlignment="1">
      <alignment horizontal="center" vertical="center" wrapText="1"/>
    </xf>
    <xf numFmtId="0" fontId="0" fillId="0" borderId="0" xfId="0" applyFill="1" applyBorder="1" applyAlignment="1">
      <alignment horizontal="left" vertical="center" wrapText="1"/>
    </xf>
    <xf numFmtId="0" fontId="0" fillId="0" borderId="0" xfId="0" applyNumberFormat="1" applyFill="1" applyBorder="1" applyAlignment="1">
      <alignment horizontal="left" vertical="center" wrapText="1"/>
    </xf>
    <xf numFmtId="0" fontId="13"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29" borderId="0" xfId="0" applyNumberFormat="1" applyFill="1" applyBorder="1" applyAlignment="1">
      <alignment horizontal="left" vertical="center" wrapText="1"/>
    </xf>
    <xf numFmtId="0" fontId="8" fillId="30" borderId="0" xfId="0" applyFont="1" applyFill="1" applyBorder="1" applyAlignment="1">
      <alignment horizontal="left" vertical="center" wrapText="1"/>
    </xf>
    <xf numFmtId="0" fontId="0" fillId="29" borderId="0" xfId="0" applyFill="1" applyBorder="1" applyAlignment="1">
      <alignment horizontal="left" vertical="center" wrapText="1"/>
    </xf>
    <xf numFmtId="0" fontId="18" fillId="30" borderId="0" xfId="0" applyFont="1" applyFill="1" applyBorder="1" applyAlignment="1">
      <alignment horizontal="left" vertical="center" wrapText="1"/>
    </xf>
    <xf numFmtId="0" fontId="13" fillId="29" borderId="0" xfId="0" applyFont="1" applyFill="1" applyBorder="1" applyAlignment="1">
      <alignment horizontal="left" vertical="center" wrapText="1"/>
    </xf>
    <xf numFmtId="0" fontId="13" fillId="29"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19" fillId="30" borderId="20"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8" fillId="30" borderId="20" xfId="0" applyFont="1" applyFill="1" applyBorder="1" applyAlignment="1">
      <alignment vertical="center" wrapText="1"/>
    </xf>
    <xf numFmtId="0" fontId="4" fillId="30" borderId="20" xfId="0" applyFont="1" applyFill="1" applyBorder="1" applyAlignment="1">
      <alignment horizontal="center" vertical="center" wrapText="1"/>
    </xf>
    <xf numFmtId="0" fontId="0" fillId="0" borderId="11" xfId="0" applyNumberFormat="1" applyFill="1" applyBorder="1" applyAlignment="1">
      <alignment horizontal="left" vertical="center" wrapText="1"/>
    </xf>
    <xf numFmtId="0" fontId="0" fillId="0" borderId="11" xfId="0" applyFill="1" applyBorder="1" applyAlignment="1">
      <alignment vertical="center" wrapText="1"/>
    </xf>
    <xf numFmtId="0" fontId="16" fillId="30" borderId="20" xfId="0" applyFont="1" applyFill="1" applyBorder="1" applyAlignment="1">
      <alignment vertical="center" wrapText="1"/>
    </xf>
    <xf numFmtId="0" fontId="46" fillId="0" borderId="11" xfId="0" applyNumberFormat="1" applyFont="1" applyFill="1" applyBorder="1" applyAlignment="1">
      <alignment vertical="center" wrapText="1"/>
    </xf>
    <xf numFmtId="0" fontId="13" fillId="30" borderId="20" xfId="0" applyFont="1" applyFill="1" applyBorder="1" applyAlignment="1">
      <alignment vertical="center" wrapText="1"/>
    </xf>
    <xf numFmtId="0" fontId="7" fillId="0" borderId="11" xfId="0" applyFont="1" applyBorder="1" applyAlignment="1">
      <alignment horizontal="left" wrapText="1"/>
    </xf>
    <xf numFmtId="0" fontId="13" fillId="0" borderId="11" xfId="0" applyFont="1" applyFill="1" applyBorder="1" applyAlignment="1">
      <alignment horizontal="left" vertical="center" wrapText="1"/>
    </xf>
    <xf numFmtId="0" fontId="22" fillId="0" borderId="11" xfId="0" applyFont="1" applyBorder="1" applyAlignment="1">
      <alignment horizontal="left" vertical="center" wrapText="1"/>
    </xf>
    <xf numFmtId="0" fontId="16" fillId="0" borderId="11" xfId="0" applyFont="1" applyBorder="1" applyAlignment="1">
      <alignment vertical="center" wrapText="1"/>
    </xf>
    <xf numFmtId="0" fontId="6" fillId="31" borderId="22" xfId="0" applyFont="1" applyFill="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5" fillId="23" borderId="6" xfId="55"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5" fillId="23" borderId="6" xfId="55" applyFont="1" applyFill="1" applyBorder="1" applyAlignment="1" applyProtection="1">
      <alignment horizontal="center" vertical="center" wrapText="1"/>
      <protection locked="0"/>
    </xf>
    <xf numFmtId="0" fontId="6" fillId="32" borderId="23" xfId="0" applyFont="1" applyFill="1" applyBorder="1" applyAlignment="1">
      <alignment horizontal="left" vertical="center"/>
    </xf>
    <xf numFmtId="0" fontId="0" fillId="0" borderId="15" xfId="0" applyBorder="1" applyAlignment="1">
      <alignment horizontal="center" vertical="center" wrapText="1"/>
    </xf>
    <xf numFmtId="0" fontId="0" fillId="0" borderId="22" xfId="0" applyBorder="1" applyAlignment="1">
      <alignment horizontal="left" vertical="center" wrapText="1"/>
    </xf>
    <xf numFmtId="0" fontId="13" fillId="0" borderId="22" xfId="0" applyFont="1" applyFill="1" applyBorder="1" applyAlignment="1">
      <alignment horizontal="left" vertical="center" wrapText="1"/>
    </xf>
    <xf numFmtId="0" fontId="5" fillId="23" borderId="24" xfId="55" applyFill="1" applyBorder="1" applyAlignment="1" applyProtection="1">
      <alignment horizontal="center" vertical="center" wrapText="1"/>
      <protection locked="0"/>
    </xf>
    <xf numFmtId="0" fontId="28" fillId="0" borderId="0" xfId="0" applyFont="1" applyAlignment="1" applyProtection="1">
      <alignment horizontal="center"/>
      <protection/>
    </xf>
    <xf numFmtId="0" fontId="28" fillId="24" borderId="25" xfId="0" applyFont="1" applyFill="1" applyBorder="1" applyAlignment="1" applyProtection="1">
      <alignment/>
      <protection/>
    </xf>
    <xf numFmtId="0" fontId="28" fillId="0" borderId="25" xfId="0" applyFont="1" applyBorder="1" applyAlignment="1" applyProtection="1">
      <alignment/>
      <protection/>
    </xf>
    <xf numFmtId="0" fontId="28" fillId="0" borderId="26" xfId="0" applyFont="1" applyBorder="1" applyAlignment="1" applyProtection="1">
      <alignment/>
      <protection/>
    </xf>
    <xf numFmtId="0" fontId="30" fillId="24" borderId="19" xfId="0" applyFont="1" applyFill="1" applyBorder="1" applyAlignment="1" applyProtection="1">
      <alignment horizontal="left"/>
      <protection/>
    </xf>
    <xf numFmtId="0" fontId="24" fillId="24" borderId="25" xfId="0" applyFont="1" applyFill="1" applyBorder="1" applyAlignment="1" applyProtection="1">
      <alignment horizontal="center"/>
      <protection/>
    </xf>
    <xf numFmtId="0" fontId="24" fillId="24" borderId="26" xfId="0" applyFont="1" applyFill="1" applyBorder="1" applyAlignment="1" applyProtection="1">
      <alignment horizontal="center"/>
      <protection/>
    </xf>
    <xf numFmtId="0" fontId="30" fillId="0" borderId="0" xfId="0" applyFont="1" applyBorder="1" applyAlignment="1" applyProtection="1">
      <alignment horizontal="center"/>
      <protection/>
    </xf>
    <xf numFmtId="0" fontId="30" fillId="0" borderId="0" xfId="0" applyFont="1" applyBorder="1" applyAlignment="1" applyProtection="1">
      <alignment/>
      <protection/>
    </xf>
    <xf numFmtId="0" fontId="28" fillId="0" borderId="0" xfId="0" applyFont="1" applyBorder="1" applyAlignment="1" applyProtection="1">
      <alignment/>
      <protection/>
    </xf>
    <xf numFmtId="0" fontId="28" fillId="0" borderId="20" xfId="0" applyFont="1" applyBorder="1" applyAlignment="1" applyProtection="1">
      <alignment/>
      <protection/>
    </xf>
    <xf numFmtId="0" fontId="0" fillId="0" borderId="17" xfId="72" applyFont="1" applyBorder="1">
      <alignment/>
      <protection/>
    </xf>
    <xf numFmtId="0" fontId="0" fillId="0" borderId="18" xfId="72" applyFont="1" applyBorder="1">
      <alignment/>
      <protection/>
    </xf>
    <xf numFmtId="0" fontId="30" fillId="0" borderId="12" xfId="0" applyFont="1" applyBorder="1" applyAlignment="1" applyProtection="1">
      <alignment horizontal="center"/>
      <protection/>
    </xf>
    <xf numFmtId="0" fontId="30" fillId="0" borderId="27" xfId="0" applyFont="1" applyBorder="1" applyAlignment="1" applyProtection="1">
      <alignment horizontal="center" wrapText="1" shrinkToFit="1"/>
      <protection/>
    </xf>
    <xf numFmtId="0" fontId="30" fillId="0" borderId="28" xfId="0" applyFont="1" applyBorder="1" applyAlignment="1" applyProtection="1">
      <alignment horizontal="center" wrapText="1"/>
      <protection/>
    </xf>
    <xf numFmtId="0" fontId="28" fillId="0" borderId="20" xfId="0" applyFont="1" applyBorder="1" applyAlignment="1" applyProtection="1">
      <alignment horizontal="center"/>
      <protection/>
    </xf>
    <xf numFmtId="0" fontId="24" fillId="0" borderId="0" xfId="0" applyFont="1" applyAlignment="1" applyProtection="1">
      <alignment horizontal="center"/>
      <protection/>
    </xf>
    <xf numFmtId="0" fontId="0" fillId="0" borderId="0" xfId="72" applyFont="1" applyBorder="1">
      <alignment/>
      <protection/>
    </xf>
    <xf numFmtId="0" fontId="0" fillId="0" borderId="20" xfId="72" applyFont="1" applyBorder="1">
      <alignment/>
      <protection/>
    </xf>
    <xf numFmtId="0" fontId="30" fillId="0" borderId="28" xfId="0" applyFont="1" applyBorder="1" applyAlignment="1" applyProtection="1">
      <alignment horizontal="center"/>
      <protection/>
    </xf>
    <xf numFmtId="0" fontId="30" fillId="0" borderId="0" xfId="0" applyFont="1" applyBorder="1" applyAlignment="1" applyProtection="1" quotePrefix="1">
      <alignment horizontal="center"/>
      <protection/>
    </xf>
    <xf numFmtId="166" fontId="30" fillId="0" borderId="29" xfId="0" applyNumberFormat="1" applyFont="1" applyBorder="1" applyAlignment="1" applyProtection="1">
      <alignment horizontal="center"/>
      <protection/>
    </xf>
    <xf numFmtId="43" fontId="30" fillId="0" borderId="29" xfId="42" applyFont="1" applyBorder="1" applyAlignment="1" applyProtection="1">
      <alignment/>
      <protection/>
    </xf>
    <xf numFmtId="0" fontId="0" fillId="0" borderId="11" xfId="72" applyFont="1" applyBorder="1">
      <alignment/>
      <protection/>
    </xf>
    <xf numFmtId="164" fontId="30" fillId="0" borderId="0" xfId="44" applyNumberFormat="1" applyFont="1" applyAlignment="1" applyProtection="1" quotePrefix="1">
      <alignment horizontal="right"/>
      <protection/>
    </xf>
    <xf numFmtId="43" fontId="30" fillId="0" borderId="30" xfId="42" applyFont="1" applyBorder="1" applyAlignment="1" applyProtection="1">
      <alignment/>
      <protection/>
    </xf>
    <xf numFmtId="0" fontId="28" fillId="0" borderId="11" xfId="0" applyFont="1" applyBorder="1" applyAlignment="1" applyProtection="1">
      <alignment/>
      <protection/>
    </xf>
    <xf numFmtId="0" fontId="28" fillId="0" borderId="11" xfId="0" applyFont="1" applyFill="1" applyBorder="1" applyAlignment="1" applyProtection="1">
      <alignment/>
      <protection/>
    </xf>
    <xf numFmtId="0" fontId="28" fillId="0" borderId="20" xfId="0" applyFont="1" applyFill="1" applyBorder="1" applyAlignment="1" applyProtection="1">
      <alignment/>
      <protection/>
    </xf>
    <xf numFmtId="0" fontId="0" fillId="0" borderId="22" xfId="0" applyFont="1" applyFill="1" applyBorder="1" applyAlignment="1" applyProtection="1">
      <alignment/>
      <protection/>
    </xf>
    <xf numFmtId="0" fontId="28" fillId="0" borderId="22" xfId="0" applyFont="1" applyFill="1" applyBorder="1" applyAlignment="1" applyProtection="1">
      <alignment/>
      <protection/>
    </xf>
    <xf numFmtId="0" fontId="28" fillId="0" borderId="23" xfId="0" applyFont="1" applyFill="1" applyBorder="1" applyAlignment="1" applyProtection="1">
      <alignment/>
      <protection/>
    </xf>
    <xf numFmtId="0" fontId="28" fillId="7" borderId="0" xfId="0" applyFont="1" applyFill="1" applyAlignment="1" applyProtection="1">
      <alignment/>
      <protection/>
    </xf>
    <xf numFmtId="0" fontId="28" fillId="0" borderId="15" xfId="0" applyFont="1" applyBorder="1" applyAlignment="1" applyProtection="1">
      <alignment/>
      <protection/>
    </xf>
    <xf numFmtId="0" fontId="28" fillId="0" borderId="22" xfId="0" applyFont="1" applyBorder="1" applyAlignment="1" applyProtection="1">
      <alignment/>
      <protection/>
    </xf>
    <xf numFmtId="0" fontId="28" fillId="0" borderId="23" xfId="0" applyFont="1" applyBorder="1" applyAlignment="1" applyProtection="1">
      <alignment/>
      <protection/>
    </xf>
    <xf numFmtId="164" fontId="4" fillId="0" borderId="31" xfId="44" applyNumberFormat="1" applyFont="1" applyBorder="1" applyAlignment="1">
      <alignment horizontal="left"/>
    </xf>
    <xf numFmtId="0" fontId="8" fillId="30" borderId="25" xfId="0" applyFont="1" applyFill="1" applyBorder="1" applyAlignment="1">
      <alignment horizontal="left" vertical="center" wrapText="1"/>
    </xf>
    <xf numFmtId="0" fontId="49" fillId="0" borderId="0" xfId="0" applyFont="1" applyAlignment="1" applyProtection="1">
      <alignment vertical="center"/>
      <protection/>
    </xf>
    <xf numFmtId="0" fontId="50" fillId="0" borderId="0" xfId="0" applyFont="1" applyAlignment="1" applyProtection="1">
      <alignment vertical="center" wrapText="1"/>
      <protection/>
    </xf>
    <xf numFmtId="0" fontId="50" fillId="0" borderId="0" xfId="0" applyFont="1" applyAlignment="1" applyProtection="1">
      <alignment horizontal="left" vertical="center"/>
      <protection/>
    </xf>
    <xf numFmtId="0" fontId="50" fillId="0" borderId="0" xfId="0" applyFont="1" applyAlignment="1" applyProtection="1">
      <alignment vertical="center"/>
      <protection/>
    </xf>
    <xf numFmtId="0" fontId="50" fillId="0" borderId="0" xfId="0" applyFont="1" applyAlignment="1" applyProtection="1">
      <alignment horizontal="left"/>
      <protection/>
    </xf>
    <xf numFmtId="0" fontId="48" fillId="0" borderId="0" xfId="0" applyFont="1" applyAlignment="1" applyProtection="1">
      <alignment/>
      <protection/>
    </xf>
    <xf numFmtId="0" fontId="50" fillId="0" borderId="0" xfId="0" applyFont="1" applyFill="1" applyBorder="1" applyAlignment="1" applyProtection="1">
      <alignment horizontal="left"/>
      <protection/>
    </xf>
    <xf numFmtId="164" fontId="51" fillId="0" borderId="0" xfId="0" applyNumberFormat="1" applyFont="1" applyFill="1" applyBorder="1" applyAlignment="1" applyProtection="1">
      <alignment/>
      <protection/>
    </xf>
    <xf numFmtId="164" fontId="52" fillId="0" borderId="0" xfId="0" applyNumberFormat="1" applyFont="1" applyFill="1" applyBorder="1" applyAlignment="1" applyProtection="1">
      <alignment/>
      <protection/>
    </xf>
    <xf numFmtId="0" fontId="7" fillId="23" borderId="0" xfId="0" applyFont="1" applyFill="1" applyBorder="1" applyAlignment="1" applyProtection="1">
      <alignment horizontal="center" vertical="center" wrapText="1"/>
      <protection locked="0"/>
    </xf>
    <xf numFmtId="0" fontId="0" fillId="23" borderId="0" xfId="0" applyFill="1" applyBorder="1" applyAlignment="1" applyProtection="1">
      <alignment horizontal="left" vertical="center" wrapText="1"/>
      <protection locked="0"/>
    </xf>
    <xf numFmtId="0" fontId="0" fillId="23" borderId="0" xfId="0" applyNumberFormat="1" applyFill="1" applyBorder="1" applyAlignment="1" applyProtection="1">
      <alignment horizontal="center" vertical="center" wrapText="1"/>
      <protection locked="0"/>
    </xf>
    <xf numFmtId="0" fontId="13" fillId="23" borderId="0" xfId="0" applyNumberFormat="1" applyFont="1" applyFill="1" applyBorder="1" applyAlignment="1" applyProtection="1">
      <alignment horizontal="center" vertical="center" wrapText="1"/>
      <protection locked="0"/>
    </xf>
    <xf numFmtId="0" fontId="7" fillId="23" borderId="0" xfId="0" applyFont="1" applyFill="1" applyBorder="1" applyAlignment="1" applyProtection="1">
      <alignment horizontal="left" wrapText="1"/>
      <protection locked="0"/>
    </xf>
    <xf numFmtId="0" fontId="0" fillId="23" borderId="0" xfId="0" applyFont="1" applyFill="1" applyBorder="1" applyAlignment="1" applyProtection="1">
      <alignment horizontal="center" wrapText="1"/>
      <protection locked="0"/>
    </xf>
    <xf numFmtId="0" fontId="13" fillId="23" borderId="0" xfId="0" applyFont="1" applyFill="1" applyBorder="1" applyAlignment="1" applyProtection="1">
      <alignment horizontal="center" vertical="center" wrapText="1"/>
      <protection locked="0"/>
    </xf>
    <xf numFmtId="0" fontId="13" fillId="23" borderId="0" xfId="0" applyFont="1" applyFill="1" applyBorder="1" applyAlignment="1" applyProtection="1">
      <alignment horizontal="left" vertical="center" wrapText="1"/>
      <protection locked="0"/>
    </xf>
    <xf numFmtId="0" fontId="14" fillId="23" borderId="0" xfId="0" applyFont="1" applyFill="1" applyBorder="1" applyAlignment="1" applyProtection="1">
      <alignment horizontal="left" vertical="center" wrapText="1"/>
      <protection locked="0"/>
    </xf>
    <xf numFmtId="0" fontId="46" fillId="0" borderId="11" xfId="0" applyNumberFormat="1" applyFont="1" applyFill="1" applyBorder="1" applyAlignment="1" applyProtection="1">
      <alignment vertical="center" wrapText="1"/>
      <protection locked="0"/>
    </xf>
    <xf numFmtId="0" fontId="45" fillId="0" borderId="11" xfId="0" applyNumberFormat="1" applyFont="1" applyFill="1" applyBorder="1" applyAlignment="1" applyProtection="1">
      <alignment horizontal="right" vertical="center" wrapText="1"/>
      <protection locked="0"/>
    </xf>
    <xf numFmtId="0" fontId="45" fillId="0" borderId="11" xfId="0" applyFont="1" applyFill="1" applyBorder="1" applyAlignment="1" applyProtection="1">
      <alignment horizontal="right" vertical="center" wrapText="1"/>
      <protection locked="0"/>
    </xf>
    <xf numFmtId="0" fontId="13" fillId="0" borderId="0" xfId="0" applyFont="1" applyAlignment="1">
      <alignment horizontal="left" vertical="top" wrapText="1"/>
    </xf>
    <xf numFmtId="0" fontId="34" fillId="28" borderId="28" xfId="0" applyFont="1" applyFill="1" applyBorder="1" applyAlignment="1" applyProtection="1">
      <alignment horizontal="center" vertical="center" wrapText="1"/>
      <protection locked="0"/>
    </xf>
    <xf numFmtId="0" fontId="8" fillId="30" borderId="26" xfId="0" applyFont="1" applyFill="1" applyBorder="1" applyAlignment="1">
      <alignment vertical="center" wrapText="1"/>
    </xf>
    <xf numFmtId="0" fontId="53" fillId="0" borderId="28" xfId="0" applyFont="1" applyBorder="1" applyAlignment="1">
      <alignment horizontal="left" vertical="top" wrapText="1"/>
    </xf>
    <xf numFmtId="0" fontId="53" fillId="0" borderId="0" xfId="0" applyFont="1" applyAlignment="1">
      <alignment horizontal="left" vertical="top" wrapText="1"/>
    </xf>
    <xf numFmtId="0" fontId="13" fillId="0" borderId="28" xfId="0" applyFont="1" applyBorder="1" applyAlignment="1">
      <alignment horizontal="left" vertical="top" wrapText="1"/>
    </xf>
    <xf numFmtId="0" fontId="4" fillId="25" borderId="28" xfId="0" applyFont="1" applyFill="1" applyBorder="1" applyAlignment="1" applyProtection="1">
      <alignment horizontal="left"/>
      <protection locked="0"/>
    </xf>
    <xf numFmtId="0" fontId="59" fillId="33" borderId="15" xfId="0" applyFont="1" applyFill="1" applyBorder="1" applyAlignment="1" applyProtection="1">
      <alignment horizontal="center" vertical="center" wrapText="1"/>
      <protection/>
    </xf>
    <xf numFmtId="164" fontId="59" fillId="33" borderId="23" xfId="0" applyNumberFormat="1" applyFont="1" applyFill="1" applyBorder="1" applyAlignment="1" applyProtection="1" quotePrefix="1">
      <alignment horizontal="center" vertical="center" wrapText="1"/>
      <protection hidden="1"/>
    </xf>
    <xf numFmtId="0" fontId="58" fillId="0" borderId="28" xfId="0" applyFont="1" applyFill="1" applyBorder="1" applyAlignment="1" applyProtection="1">
      <alignment/>
      <protection/>
    </xf>
    <xf numFmtId="0" fontId="58" fillId="0" borderId="28" xfId="0" applyFont="1" applyBorder="1" applyAlignment="1" applyProtection="1">
      <alignment/>
      <protection/>
    </xf>
    <xf numFmtId="0" fontId="58" fillId="0" borderId="28" xfId="0" applyFont="1" applyFill="1" applyBorder="1" applyAlignment="1" applyProtection="1" quotePrefix="1">
      <alignment horizontal="center"/>
      <protection hidden="1"/>
    </xf>
    <xf numFmtId="0" fontId="58" fillId="0" borderId="28" xfId="0" applyFont="1" applyFill="1" applyBorder="1" applyAlignment="1" applyProtection="1">
      <alignment horizontal="center"/>
      <protection hidden="1"/>
    </xf>
    <xf numFmtId="0" fontId="58" fillId="0" borderId="28" xfId="0" applyFont="1" applyBorder="1" applyAlignment="1" applyProtection="1">
      <alignment horizontal="left"/>
      <protection/>
    </xf>
    <xf numFmtId="0" fontId="58" fillId="0" borderId="32" xfId="0" applyFont="1" applyBorder="1" applyAlignment="1" applyProtection="1">
      <alignment horizontal="left"/>
      <protection/>
    </xf>
    <xf numFmtId="164" fontId="58" fillId="0" borderId="32" xfId="0" applyNumberFormat="1" applyFont="1" applyFill="1" applyBorder="1" applyAlignment="1" applyProtection="1" quotePrefix="1">
      <alignment horizontal="center"/>
      <protection hidden="1"/>
    </xf>
    <xf numFmtId="0" fontId="58" fillId="0" borderId="33" xfId="0" applyFont="1" applyBorder="1" applyAlignment="1" applyProtection="1">
      <alignment/>
      <protection/>
    </xf>
    <xf numFmtId="0" fontId="58" fillId="0" borderId="33" xfId="0" applyFont="1" applyFill="1" applyBorder="1" applyAlignment="1" applyProtection="1">
      <alignment horizontal="center"/>
      <protection hidden="1"/>
    </xf>
    <xf numFmtId="0" fontId="61" fillId="0" borderId="11" xfId="0" applyFont="1" applyBorder="1" applyAlignment="1" applyProtection="1">
      <alignment horizontal="right" vertical="center" wrapText="1"/>
      <protection locked="0"/>
    </xf>
    <xf numFmtId="0" fontId="13" fillId="0" borderId="15" xfId="0" applyFont="1" applyFill="1" applyBorder="1" applyAlignment="1">
      <alignment horizontal="left" vertical="center" wrapText="1"/>
    </xf>
    <xf numFmtId="0" fontId="13" fillId="23" borderId="22" xfId="0" applyFont="1" applyFill="1" applyBorder="1" applyAlignment="1" applyProtection="1">
      <alignment horizontal="left" vertical="center" wrapText="1"/>
      <protection locked="0"/>
    </xf>
    <xf numFmtId="0" fontId="13" fillId="23" borderId="22" xfId="0" applyFont="1" applyFill="1" applyBorder="1" applyAlignment="1" applyProtection="1">
      <alignment horizontal="center" vertical="center" wrapText="1"/>
      <protection locked="0"/>
    </xf>
    <xf numFmtId="0" fontId="8" fillId="30" borderId="0" xfId="0" applyFont="1" applyFill="1" applyAlignment="1">
      <alignment horizontal="center" vertical="center" wrapText="1"/>
    </xf>
    <xf numFmtId="0" fontId="0" fillId="0" borderId="0" xfId="0" applyAlignment="1" applyProtection="1">
      <alignment/>
      <protection locked="0"/>
    </xf>
    <xf numFmtId="0" fontId="4" fillId="0" borderId="28" xfId="0" applyFont="1" applyBorder="1" applyAlignment="1" applyProtection="1">
      <alignment horizontal="left"/>
      <protection hidden="1"/>
    </xf>
    <xf numFmtId="0" fontId="8" fillId="30" borderId="28" xfId="0" applyFont="1" applyFill="1" applyBorder="1" applyAlignment="1" applyProtection="1">
      <alignment horizontal="left" vertical="center" wrapText="1"/>
      <protection/>
    </xf>
    <xf numFmtId="0" fontId="0" fillId="0" borderId="0" xfId="0" applyAlignment="1" applyProtection="1">
      <alignment/>
      <protection/>
    </xf>
    <xf numFmtId="0" fontId="8" fillId="30" borderId="34" xfId="0" applyFont="1" applyFill="1" applyBorder="1" applyAlignment="1" applyProtection="1">
      <alignment horizontal="left" vertical="center" wrapText="1"/>
      <protection/>
    </xf>
    <xf numFmtId="0" fontId="8" fillId="30" borderId="35" xfId="0" applyFont="1" applyFill="1" applyBorder="1" applyAlignment="1" applyProtection="1">
      <alignment horizontal="left" vertical="center" wrapText="1"/>
      <protection/>
    </xf>
    <xf numFmtId="0" fontId="0" fillId="0" borderId="0" xfId="0" applyAlignment="1">
      <alignment horizontal="center"/>
    </xf>
    <xf numFmtId="0" fontId="4" fillId="0" borderId="36" xfId="0" applyFont="1" applyBorder="1" applyAlignment="1" applyProtection="1">
      <alignment horizontal="left"/>
      <protection hidden="1"/>
    </xf>
    <xf numFmtId="0" fontId="58" fillId="0" borderId="28" xfId="0" applyFont="1" applyFill="1" applyBorder="1" applyAlignment="1" applyProtection="1">
      <alignment vertical="center" wrapText="1"/>
      <protection/>
    </xf>
    <xf numFmtId="0" fontId="13" fillId="0" borderId="28" xfId="0" applyFont="1" applyFill="1" applyBorder="1" applyAlignment="1">
      <alignment horizontal="left" vertical="top" wrapText="1"/>
    </xf>
    <xf numFmtId="0" fontId="13" fillId="0" borderId="0" xfId="0" applyFont="1" applyFill="1" applyBorder="1" applyAlignment="1">
      <alignment horizontal="left" vertical="top" wrapText="1"/>
    </xf>
    <xf numFmtId="164" fontId="58" fillId="25" borderId="28" xfId="0" applyNumberFormat="1" applyFont="1" applyFill="1" applyBorder="1" applyAlignment="1" applyProtection="1">
      <alignment horizontal="center"/>
      <protection locked="0"/>
    </xf>
    <xf numFmtId="0" fontId="6" fillId="31" borderId="25" xfId="0" applyFont="1" applyFill="1" applyBorder="1" applyAlignment="1">
      <alignment horizontal="center" vertical="center" wrapText="1"/>
    </xf>
    <xf numFmtId="0" fontId="6" fillId="32" borderId="26" xfId="0" applyFont="1" applyFill="1" applyBorder="1" applyAlignment="1">
      <alignment horizontal="center" vertical="center" wrapText="1"/>
    </xf>
    <xf numFmtId="0" fontId="8" fillId="0" borderId="0" xfId="0" applyFont="1" applyFill="1" applyAlignment="1">
      <alignment horizontal="left" vertical="top" wrapText="1"/>
    </xf>
    <xf numFmtId="165" fontId="13" fillId="0" borderId="11" xfId="0" applyNumberFormat="1" applyFont="1" applyFill="1" applyBorder="1" applyAlignment="1" applyProtection="1">
      <alignment vertical="center" wrapText="1"/>
      <protection locked="0"/>
    </xf>
    <xf numFmtId="0" fontId="65" fillId="0" borderId="0" xfId="0" applyFont="1" applyAlignment="1" applyProtection="1">
      <alignment/>
      <protection/>
    </xf>
    <xf numFmtId="0" fontId="67" fillId="0" borderId="0" xfId="0" applyFont="1" applyAlignment="1" applyProtection="1">
      <alignment/>
      <protection/>
    </xf>
    <xf numFmtId="0" fontId="15" fillId="0" borderId="14" xfId="0" applyFont="1" applyFill="1" applyBorder="1" applyAlignment="1" applyProtection="1">
      <alignment horizontal="left" wrapText="1"/>
      <protection/>
    </xf>
    <xf numFmtId="0" fontId="34" fillId="0" borderId="15" xfId="0" applyFont="1" applyFill="1" applyBorder="1" applyAlignment="1" applyProtection="1">
      <alignment horizontal="left" vertical="center" wrapText="1"/>
      <protection/>
    </xf>
    <xf numFmtId="0" fontId="34" fillId="28" borderId="32" xfId="0" applyFont="1" applyFill="1" applyBorder="1" applyAlignment="1" applyProtection="1">
      <alignment horizontal="center" vertical="center" wrapText="1"/>
      <protection locked="0"/>
    </xf>
    <xf numFmtId="0" fontId="29" fillId="0" borderId="12" xfId="0" applyFont="1" applyBorder="1" applyAlignment="1">
      <alignment horizontal="center" wrapText="1"/>
    </xf>
    <xf numFmtId="0" fontId="29" fillId="0" borderId="28" xfId="0" applyFont="1" applyBorder="1" applyAlignment="1">
      <alignment horizontal="center"/>
    </xf>
    <xf numFmtId="0" fontId="30" fillId="0" borderId="28" xfId="0" applyFont="1" applyBorder="1" applyAlignment="1">
      <alignment horizontal="center"/>
    </xf>
    <xf numFmtId="0" fontId="30" fillId="0" borderId="37" xfId="0" applyFont="1" applyFill="1" applyBorder="1" applyAlignment="1" applyProtection="1">
      <alignment horizontal="center" wrapText="1"/>
      <protection/>
    </xf>
    <xf numFmtId="0" fontId="30" fillId="0" borderId="27" xfId="0" applyFont="1" applyFill="1" applyBorder="1" applyAlignment="1" applyProtection="1">
      <alignment horizontal="center" wrapText="1"/>
      <protection/>
    </xf>
    <xf numFmtId="0" fontId="30" fillId="0" borderId="32" xfId="0" applyFont="1" applyBorder="1" applyAlignment="1">
      <alignment horizontal="center"/>
    </xf>
    <xf numFmtId="3" fontId="30" fillId="0" borderId="32" xfId="0" applyNumberFormat="1" applyFont="1" applyFill="1" applyBorder="1" applyAlignment="1" applyProtection="1">
      <alignment horizontal="center" vertical="center" wrapText="1"/>
      <protection/>
    </xf>
    <xf numFmtId="3" fontId="30" fillId="0" borderId="28" xfId="0" applyNumberFormat="1" applyFont="1" applyFill="1" applyBorder="1" applyAlignment="1" applyProtection="1">
      <alignment horizontal="center" vertical="center" wrapText="1"/>
      <protection/>
    </xf>
    <xf numFmtId="164" fontId="30" fillId="0" borderId="38" xfId="0" applyNumberFormat="1" applyFont="1" applyFill="1" applyBorder="1" applyAlignment="1" applyProtection="1">
      <alignment horizontal="center" vertical="center" wrapText="1"/>
      <protection/>
    </xf>
    <xf numFmtId="164" fontId="30" fillId="0" borderId="39" xfId="0" applyNumberFormat="1" applyFont="1" applyFill="1" applyBorder="1" applyAlignment="1" applyProtection="1">
      <alignment horizontal="center" vertical="center" wrapText="1"/>
      <protection/>
    </xf>
    <xf numFmtId="164" fontId="30" fillId="0" borderId="32" xfId="0" applyNumberFormat="1" applyFont="1" applyBorder="1" applyAlignment="1" applyProtection="1" quotePrefix="1">
      <alignment horizontal="center"/>
      <protection hidden="1"/>
    </xf>
    <xf numFmtId="164" fontId="30" fillId="0" borderId="28" xfId="0" applyNumberFormat="1" applyFont="1" applyBorder="1" applyAlignment="1" applyProtection="1" quotePrefix="1">
      <alignment horizontal="center"/>
      <protection hidden="1"/>
    </xf>
    <xf numFmtId="164" fontId="15" fillId="30" borderId="18" xfId="0" applyNumberFormat="1" applyFont="1" applyFill="1" applyBorder="1" applyAlignment="1" applyProtection="1">
      <alignment horizontal="center"/>
      <protection/>
    </xf>
    <xf numFmtId="164" fontId="15" fillId="30" borderId="40" xfId="0" applyNumberFormat="1" applyFont="1" applyFill="1" applyBorder="1" applyAlignment="1" applyProtection="1">
      <alignment horizontal="center"/>
      <protection/>
    </xf>
    <xf numFmtId="164" fontId="15" fillId="30" borderId="41" xfId="0" applyNumberFormat="1" applyFont="1" applyFill="1" applyBorder="1" applyAlignment="1" applyProtection="1">
      <alignment horizontal="center"/>
      <protection/>
    </xf>
    <xf numFmtId="164" fontId="15" fillId="25" borderId="23" xfId="0" applyNumberFormat="1" applyFont="1" applyFill="1" applyBorder="1" applyAlignment="1" applyProtection="1">
      <alignment horizontal="center"/>
      <protection/>
    </xf>
    <xf numFmtId="0" fontId="30" fillId="0" borderId="27" xfId="0" applyNumberFormat="1" applyFont="1" applyFill="1" applyBorder="1" applyAlignment="1" applyProtection="1">
      <alignment horizontal="center" wrapText="1"/>
      <protection/>
    </xf>
    <xf numFmtId="3" fontId="15" fillId="23" borderId="38" xfId="71" applyNumberFormat="1" applyFont="1" applyFill="1" applyBorder="1" applyAlignment="1" applyProtection="1">
      <alignment horizontal="center"/>
      <protection locked="0"/>
    </xf>
    <xf numFmtId="3" fontId="15" fillId="23" borderId="39" xfId="71" applyNumberFormat="1" applyFont="1" applyFill="1" applyBorder="1" applyAlignment="1" applyProtection="1">
      <alignment horizontal="center"/>
      <protection locked="0"/>
    </xf>
    <xf numFmtId="166" fontId="30" fillId="0" borderId="42" xfId="0" applyNumberFormat="1" applyFont="1" applyBorder="1" applyAlignment="1" applyProtection="1">
      <alignment horizontal="center"/>
      <protection/>
    </xf>
    <xf numFmtId="43" fontId="30" fillId="0" borderId="42" xfId="42" applyFont="1" applyBorder="1" applyAlignment="1" applyProtection="1">
      <alignment/>
      <protection/>
    </xf>
    <xf numFmtId="166" fontId="30" fillId="0" borderId="29" xfId="67" applyNumberFormat="1" applyFont="1" applyBorder="1" applyAlignment="1" applyProtection="1">
      <alignment horizontal="center"/>
      <protection/>
    </xf>
    <xf numFmtId="166" fontId="30" fillId="0" borderId="30" xfId="0" applyNumberFormat="1" applyFont="1" applyBorder="1" applyAlignment="1" applyProtection="1">
      <alignment horizontal="center"/>
      <protection/>
    </xf>
    <xf numFmtId="0" fontId="0" fillId="0" borderId="43" xfId="0" applyBorder="1" applyAlignment="1" applyProtection="1">
      <alignment horizontal="center" vertical="center" wrapText="1"/>
      <protection hidden="1"/>
    </xf>
    <xf numFmtId="0" fontId="0" fillId="0" borderId="0" xfId="0" applyAlignment="1" applyProtection="1">
      <alignment/>
      <protection hidden="1"/>
    </xf>
    <xf numFmtId="0" fontId="11" fillId="32" borderId="25" xfId="0" applyFont="1" applyFill="1" applyBorder="1" applyAlignment="1" applyProtection="1">
      <alignment horizontal="center" vertical="center" wrapText="1"/>
      <protection hidden="1"/>
    </xf>
    <xf numFmtId="0" fontId="11" fillId="32" borderId="26" xfId="0" applyFont="1" applyFill="1" applyBorder="1" applyAlignment="1" applyProtection="1">
      <alignment horizontal="center" vertical="center" wrapText="1"/>
      <protection hidden="1"/>
    </xf>
    <xf numFmtId="0" fontId="8" fillId="30" borderId="11" xfId="0" applyFont="1" applyFill="1" applyBorder="1" applyAlignment="1" applyProtection="1">
      <alignment horizontal="left" vertical="center"/>
      <protection hidden="1"/>
    </xf>
    <xf numFmtId="0" fontId="0" fillId="30" borderId="0" xfId="0" applyFill="1" applyBorder="1" applyAlignment="1" applyProtection="1">
      <alignment horizontal="center" vertical="center" wrapText="1"/>
      <protection hidden="1"/>
    </xf>
    <xf numFmtId="0" fontId="0" fillId="30" borderId="20" xfId="0" applyFill="1" applyBorder="1" applyAlignment="1" applyProtection="1">
      <alignment horizontal="center" vertical="center" wrapText="1"/>
      <protection hidden="1"/>
    </xf>
    <xf numFmtId="0" fontId="5" fillId="0" borderId="6" xfId="55" applyFill="1" applyBorder="1" applyAlignment="1" applyProtection="1">
      <alignment horizontal="center" vertical="center" wrapText="1"/>
      <protection hidden="1" locked="0"/>
    </xf>
    <xf numFmtId="0" fontId="45" fillId="0" borderId="11" xfId="0" applyFont="1" applyBorder="1" applyAlignment="1" applyProtection="1">
      <alignment horizontal="right" vertical="center" wrapText="1"/>
      <protection hidden="1" locked="0"/>
    </xf>
    <xf numFmtId="0" fontId="0" fillId="0" borderId="0" xfId="0" applyBorder="1" applyAlignment="1" applyProtection="1">
      <alignment horizontal="left" vertical="center" wrapText="1"/>
      <protection hidden="1"/>
    </xf>
    <xf numFmtId="0" fontId="5" fillId="23" borderId="6" xfId="55" applyFill="1" applyBorder="1" applyAlignment="1" applyProtection="1">
      <alignment horizontal="center" vertical="center" wrapText="1"/>
      <protection hidden="1" locked="0"/>
    </xf>
    <xf numFmtId="0" fontId="8" fillId="30" borderId="0" xfId="0" applyFont="1" applyFill="1" applyBorder="1" applyAlignment="1" applyProtection="1">
      <alignment horizontal="left" vertical="center" wrapText="1"/>
      <protection hidden="1"/>
    </xf>
    <xf numFmtId="0" fontId="8" fillId="30" borderId="20" xfId="0" applyFont="1" applyFill="1" applyBorder="1" applyAlignment="1" applyProtection="1">
      <alignment horizontal="left" vertical="center" wrapText="1"/>
      <protection hidden="1"/>
    </xf>
    <xf numFmtId="0" fontId="5" fillId="23" borderId="44" xfId="55" applyFill="1" applyBorder="1" applyAlignment="1" applyProtection="1">
      <alignment horizontal="center" vertical="center" wrapText="1"/>
      <protection hidden="1" locked="0"/>
    </xf>
    <xf numFmtId="0" fontId="45" fillId="0" borderId="11" xfId="0" applyFont="1" applyBorder="1" applyAlignment="1" applyProtection="1">
      <alignment horizontal="right" vertical="center" wrapText="1"/>
      <protection hidden="1"/>
    </xf>
    <xf numFmtId="0" fontId="5" fillId="23" borderId="0" xfId="55" applyFill="1" applyBorder="1" applyAlignment="1" applyProtection="1">
      <alignment horizontal="center" vertical="center" wrapText="1"/>
      <protection hidden="1" locked="0"/>
    </xf>
    <xf numFmtId="2" fontId="0" fillId="0" borderId="0" xfId="0" applyNumberFormat="1" applyBorder="1" applyAlignment="1" applyProtection="1">
      <alignment horizontal="left" vertical="center" wrapText="1"/>
      <protection hidden="1"/>
    </xf>
    <xf numFmtId="0" fontId="44" fillId="0" borderId="11" xfId="0" applyFont="1" applyBorder="1" applyAlignment="1" applyProtection="1">
      <alignment horizontal="right" vertical="center" wrapText="1"/>
      <protection hidden="1" locked="0"/>
    </xf>
    <xf numFmtId="0" fontId="44" fillId="0" borderId="11" xfId="0" applyFont="1" applyBorder="1" applyAlignment="1" applyProtection="1">
      <alignment horizontal="right" vertical="center" wrapText="1"/>
      <protection hidden="1"/>
    </xf>
    <xf numFmtId="0" fontId="0" fillId="0" borderId="11" xfId="0" applyBorder="1" applyAlignment="1" applyProtection="1">
      <alignment horizontal="left" vertical="center" wrapText="1"/>
      <protection hidden="1"/>
    </xf>
    <xf numFmtId="0" fontId="0" fillId="0" borderId="11" xfId="0" applyBorder="1" applyAlignment="1" applyProtection="1">
      <alignment horizontal="center" vertical="center" wrapText="1"/>
      <protection hidden="1"/>
    </xf>
    <xf numFmtId="0" fontId="0" fillId="0" borderId="11" xfId="0" applyBorder="1" applyAlignment="1" applyProtection="1">
      <alignment horizontal="right" vertical="center" wrapText="1"/>
      <protection hidden="1"/>
    </xf>
    <xf numFmtId="0" fontId="5" fillId="23" borderId="45" xfId="55" applyFill="1" applyBorder="1" applyAlignment="1" applyProtection="1">
      <alignment horizontal="center" vertical="center" wrapText="1"/>
      <protection hidden="1" locked="0"/>
    </xf>
    <xf numFmtId="0" fontId="5" fillId="23" borderId="46" xfId="55" applyFill="1" applyBorder="1" applyAlignment="1" applyProtection="1">
      <alignment horizontal="center" vertical="center" wrapText="1"/>
      <protection hidden="1" locked="0"/>
    </xf>
    <xf numFmtId="1" fontId="45" fillId="0" borderId="11" xfId="0" applyNumberFormat="1" applyFont="1" applyBorder="1" applyAlignment="1" applyProtection="1">
      <alignment horizontal="right" vertical="center" wrapText="1"/>
      <protection hidden="1" locked="0"/>
    </xf>
    <xf numFmtId="0" fontId="0" fillId="0" borderId="11"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0" xfId="0"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0" fillId="0" borderId="11" xfId="0" applyFill="1" applyBorder="1" applyAlignment="1" applyProtection="1">
      <alignment horizontal="left" vertical="center" wrapText="1"/>
      <protection hidden="1"/>
    </xf>
    <xf numFmtId="0" fontId="5" fillId="30" borderId="6" xfId="55" applyFill="1" applyBorder="1" applyAlignment="1" applyProtection="1">
      <alignment horizontal="center" vertical="center" wrapText="1"/>
      <protection hidden="1"/>
    </xf>
    <xf numFmtId="0" fontId="13" fillId="0" borderId="11" xfId="0" applyFont="1" applyFill="1" applyBorder="1" applyAlignment="1" applyProtection="1">
      <alignment horizontal="left" vertical="center" wrapText="1"/>
      <protection hidden="1"/>
    </xf>
    <xf numFmtId="0" fontId="6" fillId="32" borderId="22" xfId="0" applyFont="1" applyFill="1" applyBorder="1" applyAlignment="1" applyProtection="1">
      <alignment horizontal="left" vertical="center"/>
      <protection hidden="1"/>
    </xf>
    <xf numFmtId="0" fontId="23" fillId="0" borderId="12" xfId="0" applyFont="1" applyBorder="1" applyAlignment="1" applyProtection="1">
      <alignment horizontal="center" vertical="center" wrapText="1"/>
      <protection hidden="1"/>
    </xf>
    <xf numFmtId="0" fontId="9" fillId="0" borderId="21" xfId="0" applyFont="1" applyFill="1" applyBorder="1" applyAlignment="1" applyProtection="1">
      <alignment horizontal="center" vertical="center"/>
      <protection hidden="1"/>
    </xf>
    <xf numFmtId="0" fontId="0" fillId="34" borderId="0" xfId="0" applyFill="1" applyBorder="1" applyAlignment="1">
      <alignment vertical="center" wrapText="1"/>
    </xf>
    <xf numFmtId="0" fontId="0" fillId="0" borderId="47" xfId="0" applyFill="1" applyBorder="1" applyAlignment="1">
      <alignment vertical="center" wrapText="1"/>
    </xf>
    <xf numFmtId="0" fontId="14" fillId="34" borderId="0" xfId="0" applyFont="1" applyFill="1" applyBorder="1" applyAlignment="1">
      <alignment vertical="center" wrapText="1"/>
    </xf>
    <xf numFmtId="0" fontId="14" fillId="0" borderId="47" xfId="0" applyFont="1" applyFill="1" applyBorder="1" applyAlignment="1">
      <alignment vertical="center" wrapText="1"/>
    </xf>
    <xf numFmtId="0" fontId="0" fillId="0" borderId="47" xfId="0" applyBorder="1" applyAlignment="1" applyProtection="1">
      <alignment horizontal="center" vertical="center" wrapText="1"/>
      <protection hidden="1"/>
    </xf>
    <xf numFmtId="0" fontId="5" fillId="23" borderId="48" xfId="55" applyFill="1" applyBorder="1" applyAlignment="1" applyProtection="1">
      <alignment horizontal="center" vertical="center" wrapText="1"/>
      <protection hidden="1" locked="0"/>
    </xf>
    <xf numFmtId="0" fontId="5" fillId="23" borderId="49" xfId="55" applyFill="1" applyBorder="1" applyAlignment="1" applyProtection="1">
      <alignment horizontal="center" vertical="center" wrapText="1"/>
      <protection hidden="1" locked="0"/>
    </xf>
    <xf numFmtId="0" fontId="5" fillId="23" borderId="50" xfId="55" applyFill="1" applyBorder="1" applyAlignment="1" applyProtection="1">
      <alignment horizontal="center" vertical="center" wrapText="1"/>
      <protection hidden="1" locked="0"/>
    </xf>
    <xf numFmtId="0" fontId="0" fillId="0" borderId="43" xfId="0" applyBorder="1" applyAlignment="1" applyProtection="1">
      <alignment vertical="center" wrapText="1"/>
      <protection hidden="1"/>
    </xf>
    <xf numFmtId="0" fontId="0" fillId="0" borderId="47" xfId="0" applyFont="1" applyFill="1" applyBorder="1" applyAlignment="1" applyProtection="1">
      <alignment horizontal="center" vertical="center" wrapText="1"/>
      <protection hidden="1"/>
    </xf>
    <xf numFmtId="0" fontId="0" fillId="0" borderId="47" xfId="0" applyFill="1" applyBorder="1" applyAlignment="1" applyProtection="1">
      <alignment vertical="center" wrapText="1"/>
      <protection hidden="1"/>
    </xf>
    <xf numFmtId="0" fontId="0" fillId="0" borderId="47" xfId="0" applyNumberFormat="1" applyFill="1" applyBorder="1" applyAlignment="1" applyProtection="1">
      <alignment vertical="center" wrapText="1"/>
      <protection hidden="1"/>
    </xf>
    <xf numFmtId="0" fontId="0" fillId="23" borderId="0" xfId="0" applyFont="1" applyFill="1" applyBorder="1" applyAlignment="1" applyProtection="1">
      <alignment horizontal="center" vertical="center" wrapText="1"/>
      <protection locked="0"/>
    </xf>
    <xf numFmtId="0" fontId="13" fillId="0" borderId="47" xfId="0" applyNumberFormat="1" applyFont="1" applyFill="1" applyBorder="1" applyAlignment="1" applyProtection="1">
      <alignment vertical="center" wrapText="1"/>
      <protection hidden="1"/>
    </xf>
    <xf numFmtId="0" fontId="13" fillId="0" borderId="47" xfId="0" applyNumberFormat="1" applyFont="1" applyFill="1" applyBorder="1" applyAlignment="1" applyProtection="1">
      <alignment horizontal="center" vertical="center" wrapText="1"/>
      <protection hidden="1"/>
    </xf>
    <xf numFmtId="0" fontId="13" fillId="0" borderId="47" xfId="0" applyFont="1" applyFill="1" applyBorder="1" applyAlignment="1" applyProtection="1">
      <alignment vertical="center" wrapText="1"/>
      <protection hidden="1"/>
    </xf>
    <xf numFmtId="0" fontId="0" fillId="0" borderId="0" xfId="0" applyBorder="1" applyAlignment="1">
      <alignment/>
    </xf>
    <xf numFmtId="0" fontId="13" fillId="0" borderId="0" xfId="0" applyFont="1" applyBorder="1" applyAlignment="1">
      <alignment horizontal="left" vertical="center" wrapText="1"/>
    </xf>
    <xf numFmtId="0" fontId="53" fillId="0" borderId="51" xfId="0" applyFont="1" applyBorder="1" applyAlignment="1">
      <alignment horizontal="left" vertical="top" wrapText="1"/>
    </xf>
    <xf numFmtId="0" fontId="13" fillId="0" borderId="52" xfId="0" applyFont="1" applyBorder="1" applyAlignment="1">
      <alignment horizontal="left" vertical="top" wrapText="1"/>
    </xf>
    <xf numFmtId="0" fontId="13" fillId="0" borderId="39" xfId="0" applyFont="1" applyBorder="1" applyAlignment="1">
      <alignment horizontal="left" vertical="top" wrapText="1"/>
    </xf>
    <xf numFmtId="0" fontId="27" fillId="0" borderId="0" xfId="0" applyFont="1" applyFill="1" applyAlignment="1" applyProtection="1">
      <alignment/>
      <protection/>
    </xf>
    <xf numFmtId="0" fontId="27" fillId="0" borderId="0" xfId="0" applyFont="1" applyFill="1" applyBorder="1" applyAlignment="1" applyProtection="1">
      <alignment horizontal="center"/>
      <protection/>
    </xf>
    <xf numFmtId="0" fontId="28" fillId="0" borderId="0" xfId="0" applyFont="1" applyFill="1" applyBorder="1" applyAlignment="1" applyProtection="1">
      <alignment horizontal="center"/>
      <protection/>
    </xf>
    <xf numFmtId="0" fontId="28" fillId="0" borderId="0" xfId="0" applyFont="1" applyFill="1" applyAlignment="1" applyProtection="1">
      <alignment/>
      <protection/>
    </xf>
    <xf numFmtId="0" fontId="28" fillId="0" borderId="0" xfId="0" applyFont="1" applyFill="1" applyAlignment="1" applyProtection="1">
      <alignment horizontal="center"/>
      <protection/>
    </xf>
    <xf numFmtId="0" fontId="0" fillId="0" borderId="0" xfId="0" applyFill="1" applyAlignment="1" applyProtection="1">
      <alignment/>
      <protection/>
    </xf>
    <xf numFmtId="0" fontId="16" fillId="0" borderId="0" xfId="0" applyFont="1" applyFill="1" applyAlignment="1" applyProtection="1">
      <alignment/>
      <protection/>
    </xf>
    <xf numFmtId="0" fontId="5" fillId="23" borderId="45" xfId="55" applyFill="1" applyBorder="1" applyAlignment="1" applyProtection="1">
      <alignment horizontal="center" vertical="center" wrapText="1"/>
      <protection locked="0"/>
    </xf>
    <xf numFmtId="0" fontId="5" fillId="23" borderId="53" xfId="55" applyFill="1" applyBorder="1" applyAlignment="1" applyProtection="1">
      <alignment horizontal="center" vertical="center" wrapText="1"/>
      <protection locked="0"/>
    </xf>
    <xf numFmtId="0" fontId="5" fillId="23" borderId="54" xfId="55" applyFill="1" applyBorder="1" applyAlignment="1" applyProtection="1">
      <alignment horizontal="center" vertical="center" wrapText="1"/>
      <protection locked="0"/>
    </xf>
    <xf numFmtId="0" fontId="5" fillId="23" borderId="55" xfId="55" applyFill="1" applyBorder="1" applyAlignment="1" applyProtection="1">
      <alignment horizontal="center" vertical="center" wrapText="1"/>
      <protection locked="0"/>
    </xf>
    <xf numFmtId="0" fontId="0" fillId="0" borderId="56" xfId="0" applyBorder="1" applyAlignment="1" applyProtection="1">
      <alignment horizontal="center" vertical="center" wrapText="1"/>
      <protection hidden="1"/>
    </xf>
    <xf numFmtId="0" fontId="17" fillId="35" borderId="0" xfId="0" applyFont="1" applyFill="1" applyAlignment="1">
      <alignment horizontal="center" vertical="center" wrapText="1"/>
    </xf>
    <xf numFmtId="0" fontId="42" fillId="35" borderId="0" xfId="0" applyFont="1" applyFill="1" applyAlignment="1">
      <alignment horizontal="center" vertical="center" wrapText="1"/>
    </xf>
    <xf numFmtId="0" fontId="8" fillId="36" borderId="28" xfId="0" applyFont="1" applyFill="1" applyBorder="1" applyAlignment="1">
      <alignment horizontal="left" vertical="top" wrapText="1"/>
    </xf>
    <xf numFmtId="0" fontId="8" fillId="36" borderId="51" xfId="0" applyFont="1" applyFill="1" applyBorder="1" applyAlignment="1">
      <alignment horizontal="left" vertical="top" wrapText="1"/>
    </xf>
    <xf numFmtId="0" fontId="8" fillId="35" borderId="28" xfId="0" applyFont="1" applyFill="1" applyBorder="1" applyAlignment="1" applyProtection="1">
      <alignment horizontal="left" vertical="center" wrapText="1"/>
      <protection/>
    </xf>
    <xf numFmtId="0" fontId="4" fillId="25" borderId="28" xfId="0" applyFont="1" applyFill="1" applyBorder="1" applyAlignment="1" applyProtection="1">
      <alignment horizontal="center"/>
      <protection locked="0"/>
    </xf>
    <xf numFmtId="164" fontId="58" fillId="0" borderId="28" xfId="44" applyNumberFormat="1" applyFont="1" applyFill="1" applyBorder="1" applyAlignment="1" applyProtection="1" quotePrefix="1">
      <alignment horizontal="center"/>
      <protection hidden="1"/>
    </xf>
    <xf numFmtId="0" fontId="5" fillId="37" borderId="0" xfId="55" applyFill="1" applyBorder="1" applyAlignment="1" applyProtection="1">
      <alignment horizontal="center" vertical="center" wrapText="1"/>
      <protection locked="0"/>
    </xf>
    <xf numFmtId="0" fontId="5" fillId="23" borderId="48" xfId="55" applyFill="1" applyBorder="1" applyAlignment="1" applyProtection="1">
      <alignment horizontal="center" vertical="center" wrapText="1"/>
      <protection locked="0"/>
    </xf>
    <xf numFmtId="0" fontId="0" fillId="0" borderId="0" xfId="0" applyFill="1" applyAlignment="1">
      <alignment horizontal="center" vertical="center"/>
    </xf>
    <xf numFmtId="0" fontId="8" fillId="0" borderId="15" xfId="0"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hidden="1"/>
    </xf>
    <xf numFmtId="0" fontId="0" fillId="0" borderId="22" xfId="0" applyFill="1" applyBorder="1" applyAlignment="1">
      <alignment horizontal="left" vertical="center" wrapText="1"/>
    </xf>
    <xf numFmtId="0" fontId="0" fillId="0" borderId="0" xfId="0" applyAlignment="1" quotePrefix="1">
      <alignment/>
    </xf>
    <xf numFmtId="0" fontId="0" fillId="0" borderId="0" xfId="0" applyFill="1" applyAlignment="1">
      <alignment horizontal="center" vertical="center" wrapText="1"/>
    </xf>
    <xf numFmtId="0" fontId="0" fillId="0" borderId="11" xfId="0" applyFill="1" applyBorder="1" applyAlignment="1">
      <alignment horizontal="center" vertical="center" wrapText="1"/>
    </xf>
    <xf numFmtId="0" fontId="5" fillId="0" borderId="6" xfId="55" applyFill="1" applyBorder="1" applyAlignment="1" applyProtection="1">
      <alignment horizontal="center" vertical="center" wrapText="1"/>
      <protection locked="0"/>
    </xf>
    <xf numFmtId="0" fontId="5" fillId="0" borderId="48" xfId="55" applyFill="1" applyBorder="1" applyAlignment="1" applyProtection="1">
      <alignment horizontal="center" vertical="center" wrapText="1"/>
      <protection locked="0"/>
    </xf>
    <xf numFmtId="0" fontId="14" fillId="0" borderId="47" xfId="0" applyFont="1" applyFill="1" applyBorder="1" applyAlignment="1">
      <alignment horizontal="center" vertical="center" wrapText="1"/>
    </xf>
    <xf numFmtId="0" fontId="58" fillId="0" borderId="28" xfId="0" applyFont="1" applyFill="1" applyBorder="1" applyAlignment="1" applyProtection="1">
      <alignment horizontal="left"/>
      <protection/>
    </xf>
    <xf numFmtId="0" fontId="0" fillId="0" borderId="11" xfId="0" applyFill="1" applyBorder="1" applyAlignment="1" applyProtection="1">
      <alignment horizontal="center" vertical="center" wrapText="1"/>
      <protection hidden="1"/>
    </xf>
    <xf numFmtId="0" fontId="5" fillId="0" borderId="48" xfId="55" applyFill="1" applyBorder="1" applyAlignment="1" applyProtection="1">
      <alignment horizontal="center" vertical="center" wrapText="1"/>
      <protection hidden="1" locked="0"/>
    </xf>
    <xf numFmtId="0" fontId="5" fillId="23" borderId="48" xfId="55" applyFont="1" applyFill="1" applyBorder="1" applyAlignment="1" applyProtection="1">
      <alignment horizontal="center" vertical="center" wrapText="1"/>
      <protection locked="0"/>
    </xf>
    <xf numFmtId="0" fontId="5" fillId="23" borderId="49" xfId="55"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hidden="1"/>
    </xf>
    <xf numFmtId="0" fontId="0" fillId="0" borderId="47" xfId="0" applyNumberFormat="1" applyBorder="1" applyAlignment="1" applyProtection="1">
      <alignment vertical="center" wrapText="1"/>
      <protection hidden="1"/>
    </xf>
    <xf numFmtId="0" fontId="58" fillId="25" borderId="57" xfId="0" applyFont="1" applyFill="1" applyBorder="1" applyAlignment="1">
      <alignment horizontal="center" vertical="center"/>
    </xf>
    <xf numFmtId="0" fontId="58" fillId="25" borderId="39" xfId="0" applyFont="1" applyFill="1" applyBorder="1" applyAlignment="1">
      <alignment horizontal="center" vertical="center"/>
    </xf>
    <xf numFmtId="0" fontId="62" fillId="32" borderId="28" xfId="0" applyFont="1" applyFill="1" applyBorder="1" applyAlignment="1">
      <alignment horizontal="center" vertical="center"/>
    </xf>
    <xf numFmtId="0" fontId="47" fillId="32" borderId="28" xfId="0" applyFont="1" applyFill="1" applyBorder="1" applyAlignment="1" applyProtection="1">
      <alignment horizontal="center" vertical="center"/>
      <protection/>
    </xf>
    <xf numFmtId="0" fontId="8" fillId="30" borderId="28" xfId="0" applyFont="1" applyFill="1" applyBorder="1" applyAlignment="1" applyProtection="1">
      <alignment wrapText="1"/>
      <protection/>
    </xf>
    <xf numFmtId="0" fontId="18" fillId="30" borderId="28" xfId="0" applyFont="1" applyFill="1" applyBorder="1" applyAlignment="1" applyProtection="1">
      <alignment/>
      <protection/>
    </xf>
    <xf numFmtId="0" fontId="47" fillId="32" borderId="28" xfId="0" applyFont="1" applyFill="1" applyBorder="1" applyAlignment="1">
      <alignment horizontal="center" vertical="center"/>
    </xf>
    <xf numFmtId="0" fontId="6" fillId="32" borderId="19" xfId="0" applyFont="1" applyFill="1" applyBorder="1" applyAlignment="1">
      <alignment horizontal="center" vertical="center"/>
    </xf>
    <xf numFmtId="0" fontId="6" fillId="32" borderId="25" xfId="0" applyFont="1" applyFill="1" applyBorder="1" applyAlignment="1">
      <alignment horizontal="center" vertical="center"/>
    </xf>
    <xf numFmtId="0" fontId="6" fillId="32" borderId="26" xfId="0" applyFont="1" applyFill="1" applyBorder="1" applyAlignment="1">
      <alignment horizontal="center" vertical="center"/>
    </xf>
    <xf numFmtId="0" fontId="8" fillId="30" borderId="11" xfId="0" applyFont="1" applyFill="1" applyBorder="1" applyAlignment="1">
      <alignment horizontal="left" vertical="center" wrapText="1"/>
    </xf>
    <xf numFmtId="0" fontId="8" fillId="30" borderId="0" xfId="0" applyFont="1" applyFill="1" applyBorder="1" applyAlignment="1">
      <alignment horizontal="left" vertical="center" wrapText="1"/>
    </xf>
    <xf numFmtId="0" fontId="8" fillId="30" borderId="20" xfId="0" applyFont="1" applyFill="1" applyBorder="1" applyAlignment="1">
      <alignment horizontal="left" vertical="center" wrapText="1"/>
    </xf>
    <xf numFmtId="0" fontId="0" fillId="0" borderId="47" xfId="0" applyBorder="1" applyAlignment="1" applyProtection="1">
      <alignment horizontal="center" vertical="center" wrapText="1"/>
      <protection hidden="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0" fillId="34" borderId="11" xfId="0" applyFill="1" applyBorder="1" applyAlignment="1">
      <alignment horizontal="left" vertical="center" wrapText="1"/>
    </xf>
    <xf numFmtId="0" fontId="0" fillId="34" borderId="0" xfId="0" applyFill="1" applyBorder="1" applyAlignment="1">
      <alignment horizontal="left" vertical="center" wrapText="1"/>
    </xf>
    <xf numFmtId="0" fontId="6" fillId="32" borderId="15" xfId="0" applyFont="1" applyFill="1" applyBorder="1" applyAlignment="1">
      <alignment horizontal="left" vertical="center"/>
    </xf>
    <xf numFmtId="0" fontId="6" fillId="32" borderId="22" xfId="0" applyFont="1" applyFill="1" applyBorder="1" applyAlignment="1">
      <alignment horizontal="left" vertical="center"/>
    </xf>
    <xf numFmtId="0" fontId="6" fillId="32" borderId="23" xfId="0" applyFont="1" applyFill="1" applyBorder="1" applyAlignment="1">
      <alignment horizontal="left" vertical="center"/>
    </xf>
    <xf numFmtId="0" fontId="0" fillId="0" borderId="47" xfId="0" applyNumberFormat="1" applyBorder="1" applyAlignment="1" applyProtection="1">
      <alignment horizontal="center" vertical="center" wrapText="1"/>
      <protection hidden="1"/>
    </xf>
    <xf numFmtId="0" fontId="0" fillId="29" borderId="11" xfId="0" applyFill="1" applyBorder="1" applyAlignment="1">
      <alignment horizontal="left" vertical="top" wrapText="1"/>
    </xf>
    <xf numFmtId="0" fontId="0" fillId="29" borderId="58" xfId="0" applyFill="1" applyBorder="1" applyAlignment="1">
      <alignment horizontal="left" vertical="top" wrapText="1"/>
    </xf>
    <xf numFmtId="0" fontId="0" fillId="2" borderId="59" xfId="0" applyFill="1" applyBorder="1" applyAlignment="1">
      <alignment horizontal="left" vertical="center" wrapText="1"/>
    </xf>
    <xf numFmtId="0" fontId="0" fillId="2" borderId="0" xfId="0" applyFill="1" applyBorder="1" applyAlignment="1">
      <alignment horizontal="left" vertical="center" wrapText="1"/>
    </xf>
    <xf numFmtId="0" fontId="0" fillId="2" borderId="20" xfId="0" applyFill="1" applyBorder="1" applyAlignment="1">
      <alignment horizontal="left" vertical="center" wrapText="1"/>
    </xf>
    <xf numFmtId="0" fontId="6" fillId="32" borderId="19" xfId="0" applyFont="1" applyFill="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8" fillId="30" borderId="11" xfId="0" applyFont="1"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29" borderId="11" xfId="0" applyFill="1" applyBorder="1" applyAlignment="1" applyProtection="1">
      <alignment horizontal="left" vertical="center" wrapText="1"/>
      <protection hidden="1"/>
    </xf>
    <xf numFmtId="0" fontId="0" fillId="29" borderId="0" xfId="0" applyFont="1" applyFill="1" applyBorder="1" applyAlignment="1" applyProtection="1">
      <alignment horizontal="left" vertical="center" wrapText="1"/>
      <protection hidden="1"/>
    </xf>
    <xf numFmtId="0" fontId="0" fillId="29" borderId="0" xfId="0" applyFill="1" applyBorder="1" applyAlignment="1" applyProtection="1">
      <alignment horizontal="left" vertical="center" wrapText="1"/>
      <protection hidden="1"/>
    </xf>
    <xf numFmtId="0" fontId="5" fillId="23" borderId="45" xfId="55" applyFill="1" applyBorder="1" applyAlignment="1" applyProtection="1">
      <alignment horizontal="center" vertical="center" wrapText="1"/>
      <protection hidden="1" locked="0"/>
    </xf>
    <xf numFmtId="0" fontId="5" fillId="23" borderId="60" xfId="55" applyFill="1" applyBorder="1" applyAlignment="1" applyProtection="1">
      <alignment horizontal="center" vertical="center" wrapText="1"/>
      <protection hidden="1" locked="0"/>
    </xf>
    <xf numFmtId="0" fontId="5" fillId="23" borderId="46" xfId="55" applyFill="1" applyBorder="1" applyAlignment="1" applyProtection="1">
      <alignment horizontal="center" vertical="center" wrapText="1"/>
      <protection hidden="1" locked="0"/>
    </xf>
    <xf numFmtId="0" fontId="0" fillId="29" borderId="11" xfId="0" applyFont="1" applyFill="1" applyBorder="1" applyAlignment="1" applyProtection="1">
      <alignment horizontal="left" vertical="center" wrapText="1"/>
      <protection hidden="1"/>
    </xf>
    <xf numFmtId="0" fontId="8" fillId="30" borderId="11" xfId="0" applyFont="1" applyFill="1" applyBorder="1" applyAlignment="1" applyProtection="1">
      <alignment horizontal="left" wrapText="1"/>
      <protection hidden="1"/>
    </xf>
    <xf numFmtId="0" fontId="8" fillId="30" borderId="0" xfId="0" applyFont="1" applyFill="1" applyBorder="1" applyAlignment="1" applyProtection="1">
      <alignment horizontal="left" wrapText="1"/>
      <protection hidden="1"/>
    </xf>
    <xf numFmtId="0" fontId="8" fillId="30" borderId="0" xfId="0" applyFont="1" applyFill="1" applyBorder="1" applyAlignment="1" applyProtection="1">
      <alignment horizontal="left" vertical="center" wrapText="1"/>
      <protection hidden="1"/>
    </xf>
    <xf numFmtId="0" fontId="0" fillId="0" borderId="43" xfId="0" applyBorder="1" applyAlignment="1" applyProtection="1">
      <alignment horizontal="center" vertical="center" wrapText="1"/>
      <protection hidden="1"/>
    </xf>
    <xf numFmtId="0" fontId="0" fillId="34" borderId="11" xfId="0" applyFill="1" applyBorder="1" applyAlignment="1" applyProtection="1">
      <alignment horizontal="left" vertical="center" wrapText="1"/>
      <protection hidden="1"/>
    </xf>
    <xf numFmtId="0" fontId="0" fillId="34" borderId="0" xfId="0" applyFill="1" applyBorder="1" applyAlignment="1" applyProtection="1">
      <alignment horizontal="left" vertical="center" wrapText="1"/>
      <protection hidden="1"/>
    </xf>
    <xf numFmtId="0" fontId="13" fillId="29" borderId="11" xfId="0" applyFont="1" applyFill="1" applyBorder="1" applyAlignment="1" applyProtection="1">
      <alignment horizontal="left" vertical="center" wrapText="1"/>
      <protection hidden="1"/>
    </xf>
    <xf numFmtId="0" fontId="13" fillId="29" borderId="0" xfId="0" applyFont="1" applyFill="1" applyBorder="1" applyAlignment="1" applyProtection="1">
      <alignment horizontal="left" vertical="center" wrapText="1"/>
      <protection hidden="1"/>
    </xf>
    <xf numFmtId="0" fontId="0" fillId="29" borderId="11" xfId="0" applyFill="1" applyBorder="1" applyAlignment="1" applyProtection="1">
      <alignment horizontal="left" vertical="top" wrapText="1"/>
      <protection hidden="1"/>
    </xf>
    <xf numFmtId="0" fontId="0" fillId="29" borderId="0" xfId="0" applyFill="1" applyBorder="1" applyAlignment="1" applyProtection="1">
      <alignment horizontal="left" vertical="top" wrapText="1"/>
      <protection hidden="1"/>
    </xf>
    <xf numFmtId="0" fontId="0" fillId="0" borderId="56" xfId="0" applyBorder="1" applyAlignment="1" applyProtection="1">
      <alignment horizontal="center" vertical="center" wrapText="1"/>
      <protection hidden="1"/>
    </xf>
    <xf numFmtId="0" fontId="0" fillId="0" borderId="47" xfId="0" applyBorder="1" applyAlignment="1" applyProtection="1">
      <alignment/>
      <protection hidden="1"/>
    </xf>
    <xf numFmtId="0" fontId="12" fillId="30" borderId="0" xfId="0" applyFont="1" applyFill="1" applyBorder="1" applyAlignment="1" applyProtection="1">
      <alignment horizontal="left" vertical="center" wrapText="1"/>
      <protection hidden="1"/>
    </xf>
    <xf numFmtId="0" fontId="6" fillId="32" borderId="15" xfId="0" applyFont="1" applyFill="1" applyBorder="1" applyAlignment="1" applyProtection="1">
      <alignment horizontal="left" vertical="center"/>
      <protection hidden="1"/>
    </xf>
    <xf numFmtId="0" fontId="0" fillId="0" borderId="22" xfId="0" applyBorder="1" applyAlignment="1" applyProtection="1">
      <alignment horizontal="left" vertical="center"/>
      <protection hidden="1"/>
    </xf>
    <xf numFmtId="0" fontId="0" fillId="0" borderId="0" xfId="0" applyBorder="1" applyAlignment="1">
      <alignment horizontal="left" vertical="center" wrapText="1"/>
    </xf>
    <xf numFmtId="0" fontId="13" fillId="0" borderId="47" xfId="0" applyNumberFormat="1" applyFont="1" applyFill="1" applyBorder="1" applyAlignment="1" applyProtection="1">
      <alignment horizontal="center" vertical="center" wrapText="1"/>
      <protection hidden="1"/>
    </xf>
    <xf numFmtId="0" fontId="0" fillId="0" borderId="47" xfId="0" applyBorder="1" applyAlignment="1" applyProtection="1">
      <alignment horizontal="center" vertical="center"/>
      <protection hidden="1"/>
    </xf>
    <xf numFmtId="0" fontId="13" fillId="0" borderId="47" xfId="0" applyFont="1" applyFill="1" applyBorder="1" applyAlignment="1" applyProtection="1">
      <alignment horizontal="center" vertical="center" wrapText="1"/>
      <protection hidden="1"/>
    </xf>
    <xf numFmtId="0" fontId="13" fillId="0" borderId="56" xfId="0" applyFont="1" applyFill="1" applyBorder="1" applyAlignment="1" applyProtection="1">
      <alignment horizontal="center" vertical="center" wrapText="1"/>
      <protection hidden="1"/>
    </xf>
    <xf numFmtId="0" fontId="6" fillId="32" borderId="19" xfId="0" applyFont="1" applyFill="1" applyBorder="1" applyAlignment="1">
      <alignment horizontal="center" vertical="center" wrapText="1"/>
    </xf>
    <xf numFmtId="0" fontId="0" fillId="32" borderId="25" xfId="0" applyFill="1" applyBorder="1" applyAlignment="1">
      <alignment horizontal="center" vertical="center" wrapText="1"/>
    </xf>
    <xf numFmtId="0" fontId="0" fillId="0" borderId="47" xfId="0" applyNumberFormat="1" applyFill="1" applyBorder="1" applyAlignment="1" applyProtection="1">
      <alignment horizontal="center" vertical="center" wrapText="1"/>
      <protection hidden="1"/>
    </xf>
    <xf numFmtId="0" fontId="13" fillId="29" borderId="11" xfId="0" applyNumberFormat="1" applyFont="1" applyFill="1" applyBorder="1" applyAlignment="1">
      <alignment horizontal="left" vertical="center" wrapText="1"/>
    </xf>
    <xf numFmtId="0" fontId="13" fillId="29" borderId="0" xfId="0" applyNumberFormat="1" applyFont="1" applyFill="1" applyBorder="1" applyAlignment="1">
      <alignment horizontal="left" vertical="center" wrapText="1"/>
    </xf>
    <xf numFmtId="0" fontId="6" fillId="32" borderId="15" xfId="0" applyFont="1" applyFill="1" applyBorder="1" applyAlignment="1">
      <alignment horizontal="left" vertical="center" wrapText="1"/>
    </xf>
    <xf numFmtId="0" fontId="0" fillId="32" borderId="22" xfId="0" applyFill="1" applyBorder="1" applyAlignment="1">
      <alignment horizontal="left" vertical="center" wrapText="1"/>
    </xf>
    <xf numFmtId="0" fontId="0" fillId="0" borderId="47" xfId="0" applyFont="1" applyBorder="1" applyAlignment="1" applyProtection="1">
      <alignment vertical="center" wrapText="1"/>
      <protection hidden="1"/>
    </xf>
    <xf numFmtId="0" fontId="4" fillId="29" borderId="11" xfId="0" applyNumberFormat="1" applyFont="1" applyFill="1" applyBorder="1" applyAlignment="1">
      <alignment horizontal="left" vertical="center" wrapText="1"/>
    </xf>
    <xf numFmtId="0" fontId="4" fillId="29" borderId="0" xfId="0" applyNumberFormat="1" applyFont="1" applyFill="1" applyBorder="1" applyAlignment="1">
      <alignment horizontal="left" vertical="center" wrapText="1"/>
    </xf>
    <xf numFmtId="0" fontId="0" fillId="0" borderId="0" xfId="0" applyBorder="1" applyAlignment="1">
      <alignment/>
    </xf>
    <xf numFmtId="0" fontId="0" fillId="29" borderId="11" xfId="0" applyNumberFormat="1" applyFill="1" applyBorder="1" applyAlignment="1">
      <alignment horizontal="left" vertical="center" wrapText="1"/>
    </xf>
    <xf numFmtId="0" fontId="8" fillId="30" borderId="19" xfId="0" applyFont="1" applyFill="1" applyBorder="1" applyAlignment="1">
      <alignment horizontal="left" vertical="center" wrapText="1"/>
    </xf>
    <xf numFmtId="0" fontId="0" fillId="0" borderId="25" xfId="0" applyBorder="1" applyAlignment="1">
      <alignment horizontal="left" vertical="center" wrapText="1"/>
    </xf>
    <xf numFmtId="0" fontId="29" fillId="0" borderId="0" xfId="0" applyFont="1" applyAlignment="1" applyProtection="1">
      <alignment horizontal="left"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8" xfId="71"/>
    <cellStyle name="Normal 9" xfId="72"/>
    <cellStyle name="Note"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36</xdr:row>
      <xdr:rowOff>295275</xdr:rowOff>
    </xdr:from>
    <xdr:to>
      <xdr:col>2</xdr:col>
      <xdr:colOff>457200</xdr:colOff>
      <xdr:row>37</xdr:row>
      <xdr:rowOff>314325</xdr:rowOff>
    </xdr:to>
    <xdr:pic>
      <xdr:nvPicPr>
        <xdr:cNvPr id="1" name="Picture 126" descr="MacBook:Users:lisahallo:Library:Caches:TemporaryItems:msoclip:0:clip_image001.png"/>
        <xdr:cNvPicPr preferRelativeResize="1">
          <a:picLocks noChangeAspect="1"/>
        </xdr:cNvPicPr>
      </xdr:nvPicPr>
      <xdr:blipFill>
        <a:blip r:embed="rId1"/>
        <a:stretch>
          <a:fillRect/>
        </a:stretch>
      </xdr:blipFill>
      <xdr:spPr>
        <a:xfrm>
          <a:off x="1066800" y="12592050"/>
          <a:ext cx="361950" cy="371475"/>
        </a:xfrm>
        <a:prstGeom prst="rect">
          <a:avLst/>
        </a:prstGeom>
        <a:noFill/>
        <a:ln w="9525" cmpd="sng">
          <a:noFill/>
        </a:ln>
      </xdr:spPr>
    </xdr:pic>
    <xdr:clientData/>
  </xdr:twoCellAnchor>
  <xdr:twoCellAnchor editAs="oneCell">
    <xdr:from>
      <xdr:col>2</xdr:col>
      <xdr:colOff>352425</xdr:colOff>
      <xdr:row>47</xdr:row>
      <xdr:rowOff>0</xdr:rowOff>
    </xdr:from>
    <xdr:to>
      <xdr:col>2</xdr:col>
      <xdr:colOff>704850</xdr:colOff>
      <xdr:row>47</xdr:row>
      <xdr:rowOff>371475</xdr:rowOff>
    </xdr:to>
    <xdr:pic>
      <xdr:nvPicPr>
        <xdr:cNvPr id="2" name="Picture 127" descr="MacBook:Users:lisahallo:Library:Caches:TemporaryItems:msoclip:0:clip_image001.png"/>
        <xdr:cNvPicPr preferRelativeResize="1">
          <a:picLocks noChangeAspect="1"/>
        </xdr:cNvPicPr>
      </xdr:nvPicPr>
      <xdr:blipFill>
        <a:blip r:embed="rId1"/>
        <a:stretch>
          <a:fillRect/>
        </a:stretch>
      </xdr:blipFill>
      <xdr:spPr>
        <a:xfrm>
          <a:off x="1314450" y="16344900"/>
          <a:ext cx="352425" cy="371475"/>
        </a:xfrm>
        <a:prstGeom prst="rect">
          <a:avLst/>
        </a:prstGeom>
        <a:noFill/>
        <a:ln w="9525" cmpd="sng">
          <a:noFill/>
        </a:ln>
      </xdr:spPr>
    </xdr:pic>
    <xdr:clientData/>
  </xdr:twoCellAnchor>
  <xdr:twoCellAnchor editAs="oneCell">
    <xdr:from>
      <xdr:col>2</xdr:col>
      <xdr:colOff>104775</xdr:colOff>
      <xdr:row>44</xdr:row>
      <xdr:rowOff>285750</xdr:rowOff>
    </xdr:from>
    <xdr:to>
      <xdr:col>2</xdr:col>
      <xdr:colOff>457200</xdr:colOff>
      <xdr:row>45</xdr:row>
      <xdr:rowOff>314325</xdr:rowOff>
    </xdr:to>
    <xdr:pic>
      <xdr:nvPicPr>
        <xdr:cNvPr id="3" name="Picture 126" descr="MacBook:Users:lisahallo:Library:Caches:TemporaryItems:msoclip:0:clip_image001.png"/>
        <xdr:cNvPicPr preferRelativeResize="1">
          <a:picLocks noChangeAspect="1"/>
        </xdr:cNvPicPr>
      </xdr:nvPicPr>
      <xdr:blipFill>
        <a:blip r:embed="rId1"/>
        <a:stretch>
          <a:fillRect/>
        </a:stretch>
      </xdr:blipFill>
      <xdr:spPr>
        <a:xfrm>
          <a:off x="1066800" y="15506700"/>
          <a:ext cx="361950" cy="314325"/>
        </a:xfrm>
        <a:prstGeom prst="rect">
          <a:avLst/>
        </a:prstGeom>
        <a:noFill/>
        <a:ln w="9525" cmpd="sng">
          <a:noFill/>
        </a:ln>
      </xdr:spPr>
    </xdr:pic>
    <xdr:clientData/>
  </xdr:twoCellAnchor>
  <xdr:twoCellAnchor editAs="oneCell">
    <xdr:from>
      <xdr:col>2</xdr:col>
      <xdr:colOff>104775</xdr:colOff>
      <xdr:row>52</xdr:row>
      <xdr:rowOff>285750</xdr:rowOff>
    </xdr:from>
    <xdr:to>
      <xdr:col>2</xdr:col>
      <xdr:colOff>457200</xdr:colOff>
      <xdr:row>53</xdr:row>
      <xdr:rowOff>314325</xdr:rowOff>
    </xdr:to>
    <xdr:pic>
      <xdr:nvPicPr>
        <xdr:cNvPr id="4" name="Picture 126" descr="MacBook:Users:lisahallo:Library:Caches:TemporaryItems:msoclip:0:clip_image001.png"/>
        <xdr:cNvPicPr preferRelativeResize="1">
          <a:picLocks noChangeAspect="1"/>
        </xdr:cNvPicPr>
      </xdr:nvPicPr>
      <xdr:blipFill>
        <a:blip r:embed="rId1"/>
        <a:stretch>
          <a:fillRect/>
        </a:stretch>
      </xdr:blipFill>
      <xdr:spPr>
        <a:xfrm>
          <a:off x="1066800" y="18449925"/>
          <a:ext cx="361950" cy="314325"/>
        </a:xfrm>
        <a:prstGeom prst="rect">
          <a:avLst/>
        </a:prstGeom>
        <a:noFill/>
        <a:ln w="9525" cmpd="sng">
          <a:noFill/>
        </a:ln>
      </xdr:spPr>
    </xdr:pic>
    <xdr:clientData/>
  </xdr:twoCellAnchor>
  <xdr:twoCellAnchor editAs="oneCell">
    <xdr:from>
      <xdr:col>2</xdr:col>
      <xdr:colOff>104775</xdr:colOff>
      <xdr:row>24</xdr:row>
      <xdr:rowOff>247650</xdr:rowOff>
    </xdr:from>
    <xdr:to>
      <xdr:col>2</xdr:col>
      <xdr:colOff>457200</xdr:colOff>
      <xdr:row>25</xdr:row>
      <xdr:rowOff>352425</xdr:rowOff>
    </xdr:to>
    <xdr:pic>
      <xdr:nvPicPr>
        <xdr:cNvPr id="5" name="Picture 126" descr="MacBook:Users:lisahallo:Library:Caches:TemporaryItems:msoclip:0:clip_image001.png"/>
        <xdr:cNvPicPr preferRelativeResize="1">
          <a:picLocks noChangeAspect="1"/>
        </xdr:cNvPicPr>
      </xdr:nvPicPr>
      <xdr:blipFill>
        <a:blip r:embed="rId1"/>
        <a:stretch>
          <a:fillRect/>
        </a:stretch>
      </xdr:blipFill>
      <xdr:spPr>
        <a:xfrm>
          <a:off x="1066800" y="8953500"/>
          <a:ext cx="3619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2:K33"/>
  <sheetViews>
    <sheetView workbookViewId="0" topLeftCell="A2">
      <selection activeCell="C18" sqref="C18"/>
    </sheetView>
  </sheetViews>
  <sheetFormatPr defaultColWidth="8.8515625" defaultRowHeight="15"/>
  <cols>
    <col min="1" max="1" width="3.7109375" style="0" customWidth="1"/>
    <col min="2" max="2" width="46.421875" style="0" customWidth="1"/>
    <col min="3" max="3" width="58.8515625" style="0" customWidth="1"/>
    <col min="4" max="4" width="4.00390625" style="0" bestFit="1" customWidth="1"/>
    <col min="5" max="5" width="6.28125" style="0" hidden="1" customWidth="1"/>
    <col min="6" max="6" width="31.421875" style="0" hidden="1" customWidth="1"/>
    <col min="7" max="7" width="5.00390625" style="0" hidden="1" customWidth="1"/>
    <col min="8" max="8" width="5.421875" style="0" hidden="1" customWidth="1"/>
    <col min="9" max="9" width="28.7109375" style="0" hidden="1" customWidth="1"/>
    <col min="10" max="10" width="13.140625" style="0" hidden="1" customWidth="1"/>
    <col min="11" max="14" width="9.140625" style="0" customWidth="1"/>
  </cols>
  <sheetData>
    <row r="2" spans="2:3" ht="33">
      <c r="B2" s="368" t="s">
        <v>152</v>
      </c>
      <c r="C2" s="368"/>
    </row>
    <row r="3" spans="2:3" ht="27.75">
      <c r="B3" s="372" t="s">
        <v>37</v>
      </c>
      <c r="C3" s="372"/>
    </row>
    <row r="4" spans="2:3" ht="15">
      <c r="B4" s="366" t="s">
        <v>40</v>
      </c>
      <c r="C4" s="367"/>
    </row>
    <row r="5" spans="2:3" ht="24" customHeight="1">
      <c r="B5" s="230" t="s">
        <v>196</v>
      </c>
      <c r="C5" s="211"/>
    </row>
    <row r="6" spans="2:3" ht="24" customHeight="1">
      <c r="B6" s="230" t="s">
        <v>197</v>
      </c>
      <c r="C6" s="211"/>
    </row>
    <row r="7" spans="2:9" ht="24" customHeight="1">
      <c r="B7" s="230" t="s">
        <v>151</v>
      </c>
      <c r="C7" s="211"/>
      <c r="E7">
        <v>1</v>
      </c>
      <c r="F7" t="s">
        <v>118</v>
      </c>
      <c r="I7" t="s">
        <v>118</v>
      </c>
    </row>
    <row r="8" spans="2:10" ht="24" customHeight="1">
      <c r="B8" s="230" t="s">
        <v>329</v>
      </c>
      <c r="C8" s="211">
        <v>1</v>
      </c>
      <c r="E8">
        <v>2</v>
      </c>
      <c r="F8" t="s">
        <v>317</v>
      </c>
      <c r="G8">
        <v>7.26</v>
      </c>
      <c r="I8">
        <v>3</v>
      </c>
      <c r="J8" t="s">
        <v>119</v>
      </c>
    </row>
    <row r="9" spans="2:9" ht="24" customHeight="1">
      <c r="B9" s="230" t="s">
        <v>17</v>
      </c>
      <c r="C9" s="211"/>
      <c r="E9">
        <v>3</v>
      </c>
      <c r="F9" t="s">
        <v>318</v>
      </c>
      <c r="G9">
        <v>5.8</v>
      </c>
      <c r="I9">
        <v>3.6</v>
      </c>
    </row>
    <row r="10" spans="2:9" ht="24.75" customHeight="1">
      <c r="B10" s="230" t="s">
        <v>97</v>
      </c>
      <c r="C10" s="229">
        <f>IF(C8=2,ROUNDDOWN(C9*G8,0),IF(C8=3,ROUNDDOWN(C9*G9,0),IF(C8=4,ROUNDDOWN(C9*G10,0),IF(C8=5,ROUNDDOWN(C9*G11,0),IF(C8=6,ROUNDDOWN(C9*G12,0),IF(C8=7,ROUNDDOWN(C9*G13,0),IF(C8=8,ROUNDDOWN(C9*G16,0),)))))))</f>
        <v>0</v>
      </c>
      <c r="E10">
        <v>4</v>
      </c>
      <c r="F10" t="s">
        <v>319</v>
      </c>
      <c r="G10">
        <v>4.4</v>
      </c>
      <c r="I10">
        <v>6</v>
      </c>
    </row>
    <row r="11" spans="2:9" ht="33" customHeight="1">
      <c r="B11" s="230" t="s">
        <v>98</v>
      </c>
      <c r="C11" s="211">
        <v>1</v>
      </c>
      <c r="E11">
        <v>5</v>
      </c>
      <c r="F11" t="s">
        <v>320</v>
      </c>
      <c r="G11">
        <v>3.6</v>
      </c>
      <c r="I11">
        <v>8</v>
      </c>
    </row>
    <row r="12" spans="2:9" ht="34.5" customHeight="1">
      <c r="B12" s="344" t="s">
        <v>16</v>
      </c>
      <c r="C12" s="229">
        <f>IF(C11=2,I8*C9,IF(C11=3,I9*C9,IF(C11=4,I10*C9,IF(C11=5,I11*C9,IF(C11=6,I12*C9,)))))</f>
        <v>0</v>
      </c>
      <c r="E12">
        <v>6</v>
      </c>
      <c r="F12" t="s">
        <v>321</v>
      </c>
      <c r="G12">
        <v>2.9</v>
      </c>
      <c r="I12">
        <v>10</v>
      </c>
    </row>
    <row r="13" spans="2:7" ht="10.5" customHeight="1">
      <c r="B13" s="231"/>
      <c r="F13" t="s">
        <v>377</v>
      </c>
      <c r="G13">
        <v>2.2</v>
      </c>
    </row>
    <row r="14" spans="2:11" ht="24" customHeight="1">
      <c r="B14" s="344" t="s">
        <v>429</v>
      </c>
      <c r="C14" s="345" t="s">
        <v>430</v>
      </c>
      <c r="K14" s="7"/>
    </row>
    <row r="15" ht="10.5" customHeight="1" thickBot="1">
      <c r="B15" s="231"/>
    </row>
    <row r="16" spans="2:7" ht="21" customHeight="1">
      <c r="B16" s="232" t="s">
        <v>259</v>
      </c>
      <c r="C16" s="235">
        <f>Regional!G35+Neighborhood!G74+Site!H72</f>
        <v>0</v>
      </c>
      <c r="F16" t="s">
        <v>378</v>
      </c>
      <c r="G16">
        <v>1.7</v>
      </c>
    </row>
    <row r="17" spans="2:3" ht="30" thickBot="1">
      <c r="B17" s="233" t="s">
        <v>57</v>
      </c>
      <c r="C17" s="182"/>
    </row>
    <row r="18" spans="6:8" ht="13.5">
      <c r="F18" t="s">
        <v>330</v>
      </c>
      <c r="G18">
        <v>0.15</v>
      </c>
      <c r="H18" t="s">
        <v>316</v>
      </c>
    </row>
    <row r="19" spans="6:8" ht="13.5">
      <c r="F19" t="s">
        <v>313</v>
      </c>
      <c r="G19">
        <v>0.15</v>
      </c>
      <c r="H19" t="s">
        <v>314</v>
      </c>
    </row>
    <row r="20" spans="6:8" ht="13.5">
      <c r="F20" t="s">
        <v>202</v>
      </c>
      <c r="G20">
        <v>0.5</v>
      </c>
      <c r="H20" t="s">
        <v>315</v>
      </c>
    </row>
    <row r="21" spans="2:3" ht="27.75">
      <c r="B21" s="369" t="s">
        <v>15</v>
      </c>
      <c r="C21" s="369"/>
    </row>
    <row r="22" spans="2:9" ht="69" customHeight="1">
      <c r="B22" s="370" t="s">
        <v>54</v>
      </c>
      <c r="C22" s="371"/>
      <c r="I22" s="228"/>
    </row>
    <row r="23" spans="2:3" ht="15">
      <c r="B23" s="214" t="s">
        <v>55</v>
      </c>
      <c r="C23" s="239"/>
    </row>
    <row r="24" spans="2:3" ht="130.5" customHeight="1">
      <c r="B24" s="236" t="s">
        <v>38</v>
      </c>
      <c r="C24" s="239" t="s">
        <v>431</v>
      </c>
    </row>
    <row r="25" spans="2:3" ht="15">
      <c r="B25" s="215" t="s">
        <v>259</v>
      </c>
      <c r="C25" s="216" t="str">
        <f>IF(C16&lt;70,"Score too low",IF(Site!H72&lt;40,"Site Score too low",C16))</f>
        <v>Score too low</v>
      </c>
    </row>
    <row r="26" spans="2:3" ht="15">
      <c r="B26" s="214" t="s">
        <v>248</v>
      </c>
      <c r="C26" s="217">
        <f>C10</f>
        <v>0</v>
      </c>
    </row>
    <row r="27" spans="2:3" ht="15.75" thickBot="1">
      <c r="B27" s="221" t="s">
        <v>254</v>
      </c>
      <c r="C27" s="222">
        <f>C12</f>
        <v>0</v>
      </c>
    </row>
    <row r="28" spans="2:3" ht="15.75" thickTop="1">
      <c r="B28" s="219" t="s">
        <v>131</v>
      </c>
      <c r="C28" s="220" t="str">
        <f>IF((C8+C11)&lt;4," ",IF(((C27-C26)*C23*G18*G20)&gt;0,((C27-C26)*C23*G18*G20),0))</f>
        <v> </v>
      </c>
    </row>
    <row r="29" spans="2:3" ht="15">
      <c r="B29" s="218" t="s">
        <v>56</v>
      </c>
      <c r="C29" s="346" t="str">
        <f>IF(C28=" "," ",(IF(C25&lt;100,0,IF(C25&lt;130,0.18*C28,IF(C25&lt;160,0.36*C28,IF(C25&lt;190,0.51*C28,IF(C25&lt;220,0.61*J25if(C25&lt;250,0.66*C28,IF(C25&lt;280,0.69*C28,0.7*C28)))))))))</f>
        <v> </v>
      </c>
    </row>
    <row r="30" spans="2:11" ht="15">
      <c r="B30" s="359" t="s">
        <v>443</v>
      </c>
      <c r="C30" s="346">
        <f>IF(Site!H71=70,(C28-C29),0)</f>
        <v>0</v>
      </c>
      <c r="D30" s="7"/>
      <c r="E30" s="7"/>
      <c r="F30" s="7"/>
      <c r="G30" s="7"/>
      <c r="H30" s="7"/>
      <c r="I30" s="7"/>
      <c r="J30" s="7"/>
      <c r="K30" s="7"/>
    </row>
    <row r="31" spans="2:11" ht="45" customHeight="1" thickBot="1">
      <c r="B31" s="212" t="s">
        <v>18</v>
      </c>
      <c r="C31" s="213" t="str">
        <f>IF(C16&lt;70,"Score too low",(IF(Site!H72&lt;40,"Site score too low",(C28-C29-C30))))</f>
        <v>Score too low</v>
      </c>
      <c r="K31" s="353"/>
    </row>
    <row r="32" spans="2:3" ht="13.5">
      <c r="B32" s="162"/>
      <c r="C32" s="145"/>
    </row>
    <row r="33" spans="2:3" ht="13.5">
      <c r="B33" s="145"/>
      <c r="C33" s="145"/>
    </row>
  </sheetData>
  <sheetProtection password="F03D" sheet="1" objects="1" scenarios="1"/>
  <mergeCells count="5">
    <mergeCell ref="B4:C4"/>
    <mergeCell ref="B2:C2"/>
    <mergeCell ref="B21:C21"/>
    <mergeCell ref="B22:C22"/>
    <mergeCell ref="B3:C3"/>
  </mergeCells>
  <printOptions/>
  <pageMargins left="0.7" right="0.7" top="0.75" bottom="0.75" header="0.3" footer="0.3"/>
  <pageSetup fitToHeight="1" fitToWidth="1" horizontalDpi="600" verticalDpi="600" orientation="portrait" scale="80"/>
  <headerFooter alignWithMargins="0">
    <oddHeader>&amp;R11/15/2012</oddHead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35"/>
  <sheetViews>
    <sheetView zoomScale="125" zoomScaleNormal="125" zoomScaleSheetLayoutView="100" workbookViewId="0" topLeftCell="A1">
      <selection activeCell="J20" sqref="J20"/>
    </sheetView>
  </sheetViews>
  <sheetFormatPr defaultColWidth="8.8515625" defaultRowHeight="15"/>
  <cols>
    <col min="1" max="1" width="5.00390625" style="2" customWidth="1"/>
    <col min="2" max="2" width="9.28125" style="2" customWidth="1"/>
    <col min="3" max="3" width="73.7109375" style="2" customWidth="1"/>
    <col min="4" max="4" width="6.140625" style="2" hidden="1" customWidth="1"/>
    <col min="5" max="5" width="3.00390625" style="2" hidden="1" customWidth="1"/>
    <col min="6" max="6" width="2.00390625" style="2" hidden="1" customWidth="1"/>
    <col min="7" max="7" width="15.7109375" style="2" customWidth="1"/>
    <col min="8" max="8" width="17.7109375" style="2" customWidth="1"/>
    <col min="9" max="16384" width="8.8515625" style="2" customWidth="1"/>
  </cols>
  <sheetData>
    <row r="1" spans="4:6" ht="15" thickBot="1">
      <c r="D1" s="3"/>
      <c r="E1" s="3"/>
      <c r="F1" s="3"/>
    </row>
    <row r="2" spans="2:7" ht="69.75" customHeight="1">
      <c r="B2" s="373" t="s">
        <v>340</v>
      </c>
      <c r="C2" s="374"/>
      <c r="D2" s="374"/>
      <c r="E2" s="374"/>
      <c r="F2" s="374"/>
      <c r="G2" s="375"/>
    </row>
    <row r="3" spans="2:7" ht="15.75" customHeight="1">
      <c r="B3" s="376" t="s">
        <v>407</v>
      </c>
      <c r="C3" s="377"/>
      <c r="D3" s="377"/>
      <c r="E3" s="377"/>
      <c r="F3" s="377"/>
      <c r="G3" s="378"/>
    </row>
    <row r="4" spans="2:7" ht="15.75" customHeight="1">
      <c r="B4" s="380" t="s">
        <v>441</v>
      </c>
      <c r="C4" s="381"/>
      <c r="D4" s="309"/>
      <c r="E4" s="309"/>
      <c r="F4" s="309"/>
      <c r="G4" s="310"/>
    </row>
    <row r="5" spans="1:7" ht="18.75" customHeight="1">
      <c r="A5" s="354"/>
      <c r="B5" s="355"/>
      <c r="C5" s="109" t="s">
        <v>440</v>
      </c>
      <c r="D5" s="356" t="b">
        <v>0</v>
      </c>
      <c r="E5" s="356">
        <f>IF(D5=TRUE,10,0)</f>
        <v>0</v>
      </c>
      <c r="F5" s="357">
        <f>IF(D5=TRUE,1,0)</f>
        <v>0</v>
      </c>
      <c r="G5" s="358">
        <f>IF(SUM(F5:F5)&gt;1,"Please check only one answer in this category.",MAX(E5:E5))</f>
        <v>0</v>
      </c>
    </row>
    <row r="6" spans="1:7" ht="15.75" customHeight="1">
      <c r="A6" s="354"/>
      <c r="B6" s="380" t="s">
        <v>406</v>
      </c>
      <c r="C6" s="381"/>
      <c r="D6" s="347"/>
      <c r="E6" s="347"/>
      <c r="F6" s="347"/>
      <c r="G6" s="358"/>
    </row>
    <row r="7" spans="1:9" ht="18.75" customHeight="1">
      <c r="A7" s="354"/>
      <c r="B7" s="355"/>
      <c r="C7" s="109" t="s">
        <v>405</v>
      </c>
      <c r="D7" s="356" t="b">
        <v>0</v>
      </c>
      <c r="E7" s="356">
        <f>IF(D7=TRUE,10,0)</f>
        <v>0</v>
      </c>
      <c r="F7" s="357">
        <f>IF(D7=TRUE,1,0)</f>
        <v>0</v>
      </c>
      <c r="G7" s="358">
        <f>IF(SUM(F7:F7)&gt;1,"Please check only one answer in this category.",MAX(E7:E7))</f>
        <v>0</v>
      </c>
      <c r="I7" s="349"/>
    </row>
    <row r="8" spans="2:7" ht="15.75" customHeight="1">
      <c r="B8" s="382" t="s">
        <v>428</v>
      </c>
      <c r="C8" s="383"/>
      <c r="D8" s="307"/>
      <c r="E8" s="307"/>
      <c r="F8" s="307"/>
      <c r="G8" s="308"/>
    </row>
    <row r="9" spans="2:7" ht="34.5" customHeight="1">
      <c r="B9" s="136"/>
      <c r="C9" s="135" t="s">
        <v>73</v>
      </c>
      <c r="D9" s="137" t="b">
        <v>0</v>
      </c>
      <c r="E9" s="137">
        <f>IF(D9=TRUE,12,0)</f>
        <v>0</v>
      </c>
      <c r="F9" s="348">
        <f>IF(D9=TRUE,1,0)</f>
        <v>0</v>
      </c>
      <c r="G9" s="379">
        <f>MAX(E9:E11)</f>
        <v>0</v>
      </c>
    </row>
    <row r="10" spans="2:7" ht="34.5" customHeight="1">
      <c r="B10" s="136"/>
      <c r="C10" s="135" t="s">
        <v>75</v>
      </c>
      <c r="D10" s="137" t="b">
        <v>0</v>
      </c>
      <c r="E10" s="137">
        <f>IF(D10=TRUE,12,0)</f>
        <v>0</v>
      </c>
      <c r="F10" s="348">
        <f>IF(D10=TRUE,1,0)</f>
        <v>0</v>
      </c>
      <c r="G10" s="379"/>
    </row>
    <row r="11" spans="2:7" ht="34.5" customHeight="1">
      <c r="B11" s="136"/>
      <c r="C11" s="135" t="s">
        <v>69</v>
      </c>
      <c r="D11" s="137" t="b">
        <v>0</v>
      </c>
      <c r="E11" s="137">
        <f>IF(D11=TRUE,12,0)</f>
        <v>0</v>
      </c>
      <c r="F11" s="348">
        <f>IF(D11=TRUE,1,0)</f>
        <v>0</v>
      </c>
      <c r="G11" s="379"/>
    </row>
    <row r="12" spans="2:7" ht="15.75" customHeight="1">
      <c r="B12" s="376" t="s">
        <v>138</v>
      </c>
      <c r="C12" s="377"/>
      <c r="D12" s="377"/>
      <c r="E12" s="377"/>
      <c r="F12" s="377"/>
      <c r="G12" s="378"/>
    </row>
    <row r="13" spans="2:7" ht="24" customHeight="1">
      <c r="B13" s="136"/>
      <c r="C13" s="109" t="s">
        <v>14</v>
      </c>
      <c r="D13" s="137" t="b">
        <v>0</v>
      </c>
      <c r="E13" s="137">
        <f>IF(D13=TRUE,5,0)</f>
        <v>0</v>
      </c>
      <c r="F13" s="348">
        <f>IF(D13=TRUE,1,0)</f>
        <v>0</v>
      </c>
      <c r="G13" s="379">
        <f>IF(SUM(F13:F15)&gt;1,"Please check only one answer in this category.",MAX(E13:E15))</f>
        <v>0</v>
      </c>
    </row>
    <row r="14" spans="2:7" s="108" customFormat="1" ht="34.5" customHeight="1">
      <c r="B14" s="138"/>
      <c r="C14" s="109" t="s">
        <v>13</v>
      </c>
      <c r="D14" s="139" t="b">
        <v>0</v>
      </c>
      <c r="E14" s="139">
        <f>IF(D14=TRUE,5,0)</f>
        <v>0</v>
      </c>
      <c r="F14" s="362">
        <f aca="true" t="shared" si="0" ref="F14:F19">IF(D14=TRUE,1,0)</f>
        <v>0</v>
      </c>
      <c r="G14" s="379"/>
    </row>
    <row r="15" spans="2:7" ht="34.5" customHeight="1">
      <c r="B15" s="136"/>
      <c r="C15" s="109" t="s">
        <v>365</v>
      </c>
      <c r="D15" s="137" t="b">
        <v>0</v>
      </c>
      <c r="E15" s="137"/>
      <c r="F15" s="348">
        <f t="shared" si="0"/>
        <v>0</v>
      </c>
      <c r="G15" s="379"/>
    </row>
    <row r="16" spans="2:7" ht="15.75" customHeight="1">
      <c r="B16" s="376" t="s">
        <v>139</v>
      </c>
      <c r="C16" s="377"/>
      <c r="D16" s="377"/>
      <c r="E16" s="377"/>
      <c r="F16" s="377"/>
      <c r="G16" s="378"/>
    </row>
    <row r="17" spans="2:7" ht="34.5" customHeight="1">
      <c r="B17" s="136"/>
      <c r="C17" s="135" t="s">
        <v>366</v>
      </c>
      <c r="D17" s="137" t="b">
        <v>0</v>
      </c>
      <c r="E17" s="137">
        <f>IF(D17=TRUE,5,0)</f>
        <v>0</v>
      </c>
      <c r="F17" s="348">
        <f t="shared" si="0"/>
        <v>0</v>
      </c>
      <c r="G17" s="379">
        <f>IF(SUM(F17:F19)&gt;1,"Please check only one answer in this category.",MAX(E17:E19))</f>
        <v>0</v>
      </c>
    </row>
    <row r="18" spans="2:7" ht="34.5" customHeight="1">
      <c r="B18" s="136"/>
      <c r="C18" s="135" t="s">
        <v>327</v>
      </c>
      <c r="D18" s="137" t="b">
        <v>0</v>
      </c>
      <c r="E18" s="137">
        <f>IF(D18=TRUE,5,0)</f>
        <v>0</v>
      </c>
      <c r="F18" s="348">
        <f t="shared" si="0"/>
        <v>0</v>
      </c>
      <c r="G18" s="379"/>
    </row>
    <row r="19" spans="2:7" ht="49.5" customHeight="1">
      <c r="B19" s="136"/>
      <c r="C19" s="135" t="s">
        <v>351</v>
      </c>
      <c r="D19" s="137" t="b">
        <v>0</v>
      </c>
      <c r="E19" s="137"/>
      <c r="F19" s="348">
        <f t="shared" si="0"/>
        <v>0</v>
      </c>
      <c r="G19" s="379"/>
    </row>
    <row r="20" spans="2:7" ht="15.75" customHeight="1">
      <c r="B20" s="376" t="s">
        <v>140</v>
      </c>
      <c r="C20" s="377"/>
      <c r="D20" s="377"/>
      <c r="E20" s="377"/>
      <c r="F20" s="377"/>
      <c r="G20" s="378"/>
    </row>
    <row r="21" spans="2:7" ht="24" customHeight="1">
      <c r="B21" s="136"/>
      <c r="C21" s="135" t="s">
        <v>39</v>
      </c>
      <c r="D21" s="137" t="b">
        <v>0</v>
      </c>
      <c r="E21" s="137">
        <f>IF(D21=TRUE,5,0)</f>
        <v>0</v>
      </c>
      <c r="F21" s="348">
        <f>IF(D21=TRUE,1,0)</f>
        <v>0</v>
      </c>
      <c r="G21" s="379">
        <f>IF(SUM(F21:F23)&gt;1,"Please check only one answer in this category.",MAX(E21:E23))</f>
        <v>0</v>
      </c>
    </row>
    <row r="22" spans="2:7" ht="34.5" customHeight="1">
      <c r="B22" s="136"/>
      <c r="C22" s="109" t="s">
        <v>446</v>
      </c>
      <c r="D22" s="137" t="b">
        <v>0</v>
      </c>
      <c r="E22" s="137">
        <f>IF(D22=TRUE,5,0)</f>
        <v>0</v>
      </c>
      <c r="F22" s="348">
        <f>IF(D22=TRUE,1,0)</f>
        <v>0</v>
      </c>
      <c r="G22" s="379"/>
    </row>
    <row r="23" spans="2:7" ht="24" customHeight="1">
      <c r="B23" s="136"/>
      <c r="C23" s="135" t="s">
        <v>10</v>
      </c>
      <c r="D23" s="137" t="b">
        <v>0</v>
      </c>
      <c r="E23" s="137"/>
      <c r="F23" s="348">
        <f>IF(D23=TRUE,1,0)</f>
        <v>0</v>
      </c>
      <c r="G23" s="379"/>
    </row>
    <row r="24" spans="2:7" ht="15.75" customHeight="1">
      <c r="B24" s="376" t="s">
        <v>141</v>
      </c>
      <c r="C24" s="377"/>
      <c r="D24" s="377"/>
      <c r="E24" s="377"/>
      <c r="F24" s="377"/>
      <c r="G24" s="378"/>
    </row>
    <row r="25" spans="2:7" ht="24" customHeight="1">
      <c r="B25" s="136"/>
      <c r="C25" s="135" t="s">
        <v>167</v>
      </c>
      <c r="D25" s="137" t="b">
        <v>0</v>
      </c>
      <c r="E25" s="137">
        <f>IF(D25=TRUE,5,0)</f>
        <v>0</v>
      </c>
      <c r="F25" s="348">
        <f>IF(D25=TRUE,1,0)</f>
        <v>0</v>
      </c>
      <c r="G25" s="379">
        <f>IF(SUM(F25:F27)&gt;1,"Please check only one answer in this category.",MAX(E25:E27))</f>
        <v>0</v>
      </c>
    </row>
    <row r="26" spans="2:8" ht="34.5" customHeight="1">
      <c r="B26" s="136"/>
      <c r="C26" s="135" t="s">
        <v>435</v>
      </c>
      <c r="D26" s="137" t="b">
        <v>0</v>
      </c>
      <c r="E26" s="137">
        <f>IF(D26=TRUE,5,0)</f>
        <v>0</v>
      </c>
      <c r="F26" s="348">
        <f>IF(D26=TRUE,1,0)</f>
        <v>0</v>
      </c>
      <c r="G26" s="379"/>
      <c r="H26" s="354"/>
    </row>
    <row r="27" spans="2:7" ht="34.5" customHeight="1">
      <c r="B27" s="136"/>
      <c r="C27" s="135" t="s">
        <v>168</v>
      </c>
      <c r="D27" s="335" t="b">
        <v>0</v>
      </c>
      <c r="E27" s="335"/>
      <c r="F27" s="363">
        <f>IF(D27=TRUE,1,0)</f>
        <v>0</v>
      </c>
      <c r="G27" s="379"/>
    </row>
    <row r="28" spans="2:7" ht="15.75" customHeight="1">
      <c r="B28" s="376" t="s">
        <v>142</v>
      </c>
      <c r="C28" s="377"/>
      <c r="D28" s="377"/>
      <c r="E28" s="377"/>
      <c r="F28" s="377"/>
      <c r="G28" s="378"/>
    </row>
    <row r="29" spans="2:7" ht="58.5" customHeight="1">
      <c r="B29" s="388" t="s">
        <v>354</v>
      </c>
      <c r="C29" s="389"/>
      <c r="D29" s="390"/>
      <c r="E29" s="391"/>
      <c r="F29" s="391"/>
      <c r="G29" s="392"/>
    </row>
    <row r="30" spans="2:7" ht="34.5" customHeight="1">
      <c r="B30" s="223">
        <v>0</v>
      </c>
      <c r="C30" s="135" t="s">
        <v>356</v>
      </c>
      <c r="D30" s="336">
        <f>IF(B30&gt;40,40,B30)</f>
        <v>0</v>
      </c>
      <c r="E30" s="137"/>
      <c r="F30" s="348"/>
      <c r="G30" s="387">
        <f>IF((SUM(D30:D33)&gt;20)=FALSE,SUM(D30:D33),20)</f>
        <v>0</v>
      </c>
    </row>
    <row r="31" spans="2:7" ht="34.5" customHeight="1">
      <c r="B31" s="223">
        <v>0</v>
      </c>
      <c r="C31" s="135" t="s">
        <v>357</v>
      </c>
      <c r="D31" s="336">
        <f>B31*0.75</f>
        <v>0</v>
      </c>
      <c r="E31" s="137"/>
      <c r="F31" s="348"/>
      <c r="G31" s="387"/>
    </row>
    <row r="32" spans="2:7" ht="34.5" customHeight="1">
      <c r="B32" s="223">
        <v>0</v>
      </c>
      <c r="C32" s="135" t="s">
        <v>358</v>
      </c>
      <c r="D32" s="336">
        <f>B32*0.25</f>
        <v>0</v>
      </c>
      <c r="E32" s="137"/>
      <c r="F32" s="348"/>
      <c r="G32" s="387"/>
    </row>
    <row r="33" spans="2:7" ht="34.5" customHeight="1">
      <c r="B33" s="223">
        <v>0</v>
      </c>
      <c r="C33" s="135" t="s">
        <v>359</v>
      </c>
      <c r="D33" s="336">
        <f>B33*0.1</f>
        <v>0</v>
      </c>
      <c r="E33" s="137"/>
      <c r="F33" s="348"/>
      <c r="G33" s="387"/>
    </row>
    <row r="34" spans="2:7" ht="34.5" customHeight="1" thickBot="1">
      <c r="B34" s="141"/>
      <c r="C34" s="142" t="s">
        <v>312</v>
      </c>
      <c r="D34" s="337" t="b">
        <v>0</v>
      </c>
      <c r="E34" s="144"/>
      <c r="F34" s="338"/>
      <c r="G34" s="339">
        <f>IF(D34,6,0)</f>
        <v>0</v>
      </c>
    </row>
    <row r="35" spans="2:7" ht="28.5" thickBot="1">
      <c r="B35" s="384" t="s">
        <v>341</v>
      </c>
      <c r="C35" s="385"/>
      <c r="D35" s="386"/>
      <c r="E35" s="140"/>
      <c r="F35" s="140"/>
      <c r="G35" s="306">
        <f>SUM(G5:G34)</f>
        <v>0</v>
      </c>
    </row>
  </sheetData>
  <sheetProtection password="F03D" sheet="1" objects="1" scenarios="1"/>
  <mergeCells count="19">
    <mergeCell ref="G9:G11"/>
    <mergeCell ref="B35:D35"/>
    <mergeCell ref="B28:G28"/>
    <mergeCell ref="G30:G33"/>
    <mergeCell ref="B29:C29"/>
    <mergeCell ref="D29:G29"/>
    <mergeCell ref="G17:G19"/>
    <mergeCell ref="G25:G27"/>
    <mergeCell ref="G21:G23"/>
    <mergeCell ref="B2:G2"/>
    <mergeCell ref="B3:G3"/>
    <mergeCell ref="B12:G12"/>
    <mergeCell ref="B16:G16"/>
    <mergeCell ref="B20:G20"/>
    <mergeCell ref="B24:G24"/>
    <mergeCell ref="G13:G15"/>
    <mergeCell ref="B6:C6"/>
    <mergeCell ref="B8:C8"/>
    <mergeCell ref="B4:C4"/>
  </mergeCells>
  <printOptions/>
  <pageMargins left="0.7" right="0.7" top="0.75" bottom="0.75" header="0.3" footer="0.3"/>
  <pageSetup fitToHeight="1" fitToWidth="1" horizontalDpi="600" verticalDpi="600" orientation="portrait" scale="67"/>
  <headerFooter alignWithMargins="0">
    <oddHeader>&amp;R11/15/2012</oddHeader>
  </headerFooter>
  <rowBreaks count="1" manualBreakCount="1">
    <brk id="27" min="1" max="6" man="1"/>
  </rowBreaks>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I74"/>
  <sheetViews>
    <sheetView zoomScale="125" zoomScaleNormal="125" zoomScaleSheetLayoutView="100" workbookViewId="0" topLeftCell="A1">
      <selection activeCell="J20" sqref="J20"/>
    </sheetView>
  </sheetViews>
  <sheetFormatPr defaultColWidth="8.8515625" defaultRowHeight="15"/>
  <cols>
    <col min="1" max="1" width="5.140625" style="0" customWidth="1"/>
    <col min="2" max="2" width="9.28125" style="273" customWidth="1"/>
    <col min="3" max="3" width="75.421875" style="273" bestFit="1" customWidth="1"/>
    <col min="4" max="4" width="6.140625" style="273" hidden="1" customWidth="1"/>
    <col min="5" max="5" width="3.140625" style="273" hidden="1" customWidth="1"/>
    <col min="6" max="6" width="2.28125" style="273" hidden="1" customWidth="1"/>
    <col min="7" max="7" width="15.7109375" style="273" customWidth="1"/>
  </cols>
  <sheetData>
    <row r="1" ht="15" thickBot="1"/>
    <row r="2" spans="2:7" ht="66" customHeight="1">
      <c r="B2" s="393" t="s">
        <v>342</v>
      </c>
      <c r="C2" s="394"/>
      <c r="D2" s="274"/>
      <c r="E2" s="274"/>
      <c r="F2" s="274"/>
      <c r="G2" s="275"/>
    </row>
    <row r="3" spans="2:7" ht="15">
      <c r="B3" s="276" t="s">
        <v>143</v>
      </c>
      <c r="C3" s="277"/>
      <c r="D3" s="277"/>
      <c r="E3" s="277"/>
      <c r="F3" s="277"/>
      <c r="G3" s="278"/>
    </row>
    <row r="4" spans="2:7" ht="45.75" customHeight="1">
      <c r="B4" s="397" t="s">
        <v>445</v>
      </c>
      <c r="C4" s="399"/>
      <c r="D4" s="279"/>
      <c r="E4" s="279"/>
      <c r="F4" s="361"/>
      <c r="G4" s="311"/>
    </row>
    <row r="5" spans="2:7" ht="33.75" customHeight="1">
      <c r="B5" s="280">
        <v>32</v>
      </c>
      <c r="C5" s="281" t="s">
        <v>92</v>
      </c>
      <c r="D5" s="282" t="b">
        <v>1</v>
      </c>
      <c r="E5" s="282">
        <f>IF(D5=TRUE,17,0)</f>
        <v>17</v>
      </c>
      <c r="F5" s="312">
        <f>IF(D5=TRUE,1,0)</f>
        <v>1</v>
      </c>
      <c r="G5" s="311">
        <f>IF(B5&gt;=100,17,IF(B5&gt;=75,16,IF(B5&gt;=50,15,0)))</f>
        <v>0</v>
      </c>
    </row>
    <row r="6" spans="2:7" ht="15">
      <c r="B6" s="276" t="s">
        <v>144</v>
      </c>
      <c r="C6" s="283"/>
      <c r="D6" s="283"/>
      <c r="E6" s="283"/>
      <c r="F6" s="283"/>
      <c r="G6" s="284"/>
    </row>
    <row r="7" spans="2:7" ht="30.75" customHeight="1">
      <c r="B7" s="397" t="s">
        <v>403</v>
      </c>
      <c r="C7" s="399"/>
      <c r="D7" s="400">
        <f>B8/B9</f>
        <v>1</v>
      </c>
      <c r="E7" s="285"/>
      <c r="F7" s="285"/>
      <c r="G7" s="379">
        <f>IF(D10=TRUE,10,IF(D7&gt;=1.6,10,IF(D7&gt;=1.3,8,0)))</f>
        <v>0</v>
      </c>
    </row>
    <row r="8" spans="2:7" ht="34.5" customHeight="1">
      <c r="B8" s="280">
        <v>1</v>
      </c>
      <c r="C8" s="281" t="s">
        <v>108</v>
      </c>
      <c r="D8" s="401"/>
      <c r="E8" s="285"/>
      <c r="F8" s="285"/>
      <c r="G8" s="379"/>
    </row>
    <row r="9" spans="2:7" ht="34.5" customHeight="1">
      <c r="B9" s="280">
        <v>1</v>
      </c>
      <c r="C9" s="281" t="s">
        <v>360</v>
      </c>
      <c r="D9" s="402"/>
      <c r="E9" s="285"/>
      <c r="F9" s="285"/>
      <c r="G9" s="379"/>
    </row>
    <row r="10" spans="2:7" ht="24" customHeight="1">
      <c r="B10" s="286"/>
      <c r="C10" s="281" t="s">
        <v>86</v>
      </c>
      <c r="D10" s="287" t="b">
        <v>0</v>
      </c>
      <c r="E10" s="287"/>
      <c r="F10" s="287"/>
      <c r="G10" s="379"/>
    </row>
    <row r="11" spans="2:7" ht="19.5" customHeight="1">
      <c r="B11" s="286" t="s">
        <v>90</v>
      </c>
      <c r="C11" s="288">
        <f>B8/B9</f>
        <v>1</v>
      </c>
      <c r="D11" s="287"/>
      <c r="E11" s="287"/>
      <c r="F11" s="287"/>
      <c r="G11" s="311"/>
    </row>
    <row r="12" spans="2:7" ht="15">
      <c r="B12" s="395" t="s">
        <v>145</v>
      </c>
      <c r="C12" s="396"/>
      <c r="D12" s="283"/>
      <c r="E12" s="283"/>
      <c r="F12" s="283"/>
      <c r="G12" s="278"/>
    </row>
    <row r="13" spans="2:7" ht="28.5" customHeight="1">
      <c r="B13" s="397" t="s">
        <v>436</v>
      </c>
      <c r="C13" s="398"/>
      <c r="D13" s="282"/>
      <c r="E13" s="282"/>
      <c r="F13" s="312"/>
      <c r="G13" s="311"/>
    </row>
    <row r="14" spans="2:7" ht="24" customHeight="1">
      <c r="B14" s="289"/>
      <c r="C14" s="281" t="s">
        <v>404</v>
      </c>
      <c r="D14" s="282" t="b">
        <v>0</v>
      </c>
      <c r="E14" s="282">
        <f>IF(D14=TRUE,1,0)</f>
        <v>0</v>
      </c>
      <c r="F14" s="312"/>
      <c r="G14" s="379">
        <f>IF(SUM(E14:E16)&gt;1,"Please check only one answer",IF(D15=TRUE,5,IF(D16=TRUE,4,)))</f>
        <v>0</v>
      </c>
    </row>
    <row r="15" spans="2:7" ht="24" customHeight="1">
      <c r="B15" s="290"/>
      <c r="C15" s="281" t="s">
        <v>432</v>
      </c>
      <c r="D15" s="282" t="b">
        <v>0</v>
      </c>
      <c r="E15" s="282">
        <f>IF(D15=TRUE,1,0)</f>
        <v>0</v>
      </c>
      <c r="F15" s="312"/>
      <c r="G15" s="379"/>
    </row>
    <row r="16" spans="2:7" ht="24" customHeight="1">
      <c r="B16" s="290"/>
      <c r="C16" s="281" t="s">
        <v>433</v>
      </c>
      <c r="D16" s="282" t="b">
        <v>0</v>
      </c>
      <c r="E16" s="282">
        <f>IF(D16=TRUE,1,0)</f>
        <v>0</v>
      </c>
      <c r="F16" s="312"/>
      <c r="G16" s="379"/>
    </row>
    <row r="17" spans="2:7" ht="18" customHeight="1">
      <c r="B17" s="397" t="s">
        <v>161</v>
      </c>
      <c r="C17" s="398"/>
      <c r="D17" s="282"/>
      <c r="E17" s="282"/>
      <c r="F17" s="312"/>
      <c r="G17" s="311"/>
    </row>
    <row r="18" spans="2:7" ht="39" customHeight="1">
      <c r="B18" s="280">
        <v>605</v>
      </c>
      <c r="C18" s="281" t="s">
        <v>68</v>
      </c>
      <c r="D18" s="282">
        <v>1</v>
      </c>
      <c r="E18" s="282"/>
      <c r="F18" s="312"/>
      <c r="G18" s="311">
        <f>IF(B18&lt;=600,5,0)</f>
        <v>0</v>
      </c>
    </row>
    <row r="19" spans="2:7" ht="18" customHeight="1">
      <c r="B19" s="397" t="s">
        <v>343</v>
      </c>
      <c r="C19" s="398"/>
      <c r="D19" s="282"/>
      <c r="E19" s="282"/>
      <c r="F19" s="312"/>
      <c r="G19" s="311"/>
    </row>
    <row r="20" spans="2:7" ht="33" customHeight="1">
      <c r="B20" s="291"/>
      <c r="C20" s="281" t="s">
        <v>105</v>
      </c>
      <c r="D20" s="282" t="b">
        <v>0</v>
      </c>
      <c r="E20" s="282"/>
      <c r="F20" s="312"/>
      <c r="G20" s="311">
        <f>IF(D20,4,0)</f>
        <v>0</v>
      </c>
    </row>
    <row r="21" spans="2:7" ht="18" customHeight="1">
      <c r="B21" s="403" t="s">
        <v>344</v>
      </c>
      <c r="C21" s="398"/>
      <c r="D21" s="282"/>
      <c r="E21" s="282"/>
      <c r="F21" s="312"/>
      <c r="G21" s="311"/>
    </row>
    <row r="22" spans="2:7" ht="30" customHeight="1">
      <c r="B22" s="280">
        <v>21</v>
      </c>
      <c r="C22" s="281" t="s">
        <v>437</v>
      </c>
      <c r="D22" s="282"/>
      <c r="E22" s="282"/>
      <c r="F22" s="312"/>
      <c r="G22" s="379">
        <f>IF(D23=TRUE,0,IF(B22&lt;=12,4,IF(B22&lt;=20,3,0)))</f>
        <v>0</v>
      </c>
    </row>
    <row r="23" spans="2:7" ht="30" customHeight="1">
      <c r="B23" s="290"/>
      <c r="C23" s="281" t="s">
        <v>70</v>
      </c>
      <c r="D23" s="282" t="b">
        <v>0</v>
      </c>
      <c r="E23" s="282"/>
      <c r="F23" s="312"/>
      <c r="G23" s="379"/>
    </row>
    <row r="24" spans="2:7" ht="30" customHeight="1">
      <c r="B24" s="280">
        <v>31</v>
      </c>
      <c r="C24" s="281" t="s">
        <v>58</v>
      </c>
      <c r="D24" s="282"/>
      <c r="E24" s="282"/>
      <c r="F24" s="312"/>
      <c r="G24" s="379">
        <f>IF(D25=TRUE,0,IF(B24&lt;=30,2,0))</f>
        <v>0</v>
      </c>
    </row>
    <row r="25" spans="2:7" ht="30" customHeight="1">
      <c r="B25" s="290"/>
      <c r="C25" s="281" t="s">
        <v>71</v>
      </c>
      <c r="D25" s="294" t="b">
        <v>0</v>
      </c>
      <c r="E25" s="294"/>
      <c r="F25" s="313"/>
      <c r="G25" s="379"/>
    </row>
    <row r="26" spans="2:9" ht="15">
      <c r="B26" s="395" t="s">
        <v>146</v>
      </c>
      <c r="C26" s="406"/>
      <c r="D26" s="283"/>
      <c r="E26" s="283"/>
      <c r="F26" s="283"/>
      <c r="G26" s="278"/>
      <c r="I26" t="s">
        <v>125</v>
      </c>
    </row>
    <row r="27" spans="2:7" ht="31.5" customHeight="1">
      <c r="B27" s="292"/>
      <c r="C27" s="281" t="s">
        <v>76</v>
      </c>
      <c r="D27" s="295" t="b">
        <v>0</v>
      </c>
      <c r="E27" s="295"/>
      <c r="F27" s="314"/>
      <c r="G27" s="311">
        <f>IF(D27=TRUE,4,0)</f>
        <v>0</v>
      </c>
    </row>
    <row r="28" spans="2:7" ht="33" customHeight="1">
      <c r="B28" s="292"/>
      <c r="C28" s="281" t="s">
        <v>43</v>
      </c>
      <c r="D28" s="282" t="b">
        <v>0</v>
      </c>
      <c r="E28" s="282"/>
      <c r="F28" s="312"/>
      <c r="G28" s="311">
        <f>IF(D28=TRUE,5,0)</f>
        <v>0</v>
      </c>
    </row>
    <row r="29" spans="2:7" ht="21.75" customHeight="1">
      <c r="B29" s="397" t="s">
        <v>91</v>
      </c>
      <c r="C29" s="398"/>
      <c r="D29" s="282"/>
      <c r="E29" s="282"/>
      <c r="F29" s="312"/>
      <c r="G29" s="311"/>
    </row>
    <row r="30" spans="2:7" ht="21" customHeight="1">
      <c r="B30" s="293"/>
      <c r="C30" s="281" t="s">
        <v>77</v>
      </c>
      <c r="D30" s="282" t="b">
        <v>0</v>
      </c>
      <c r="E30" s="282">
        <f>IF(D30=TRUE,1,0)</f>
        <v>0</v>
      </c>
      <c r="F30" s="312">
        <f>IF(D30=TRUE,12,0)</f>
        <v>0</v>
      </c>
      <c r="G30" s="379">
        <f>IF(SUM(E30:E33)&gt;1,"Please check only one answer in this category.",MAX(F30:F32))</f>
        <v>0</v>
      </c>
    </row>
    <row r="31" spans="2:7" ht="21" customHeight="1">
      <c r="B31" s="292"/>
      <c r="C31" s="281" t="s">
        <v>78</v>
      </c>
      <c r="D31" s="282" t="b">
        <v>0</v>
      </c>
      <c r="E31" s="282">
        <f>IF(D31=TRUE,1,0)</f>
        <v>0</v>
      </c>
      <c r="F31" s="312">
        <f>IF(D31=TRUE,8,0)</f>
        <v>0</v>
      </c>
      <c r="G31" s="379"/>
    </row>
    <row r="32" spans="2:7" ht="21" customHeight="1">
      <c r="B32" s="292"/>
      <c r="C32" s="281" t="s">
        <v>79</v>
      </c>
      <c r="D32" s="282" t="b">
        <v>0</v>
      </c>
      <c r="E32" s="282">
        <f>IF(D32=TRUE,1,0)</f>
        <v>0</v>
      </c>
      <c r="F32" s="312">
        <f>IF(D32=TRUE,4,0)</f>
        <v>0</v>
      </c>
      <c r="G32" s="379"/>
    </row>
    <row r="33" spans="2:7" ht="21" customHeight="1">
      <c r="B33" s="292"/>
      <c r="C33" s="281" t="s">
        <v>80</v>
      </c>
      <c r="D33" s="294" t="b">
        <v>0</v>
      </c>
      <c r="E33" s="294">
        <f>IF(D33=TRUE,1,0)</f>
        <v>0</v>
      </c>
      <c r="F33" s="313"/>
      <c r="G33" s="379"/>
    </row>
    <row r="34" spans="2:7" ht="30.75" customHeight="1">
      <c r="B34" s="410" t="s">
        <v>408</v>
      </c>
      <c r="C34" s="411"/>
      <c r="D34" s="295"/>
      <c r="E34" s="295"/>
      <c r="F34" s="314"/>
      <c r="G34" s="311"/>
    </row>
    <row r="35" spans="2:7" ht="33" customHeight="1">
      <c r="B35" s="296">
        <v>0</v>
      </c>
      <c r="C35" s="281" t="s">
        <v>363</v>
      </c>
      <c r="D35" s="282"/>
      <c r="E35" s="282"/>
      <c r="F35" s="312"/>
      <c r="G35" s="311">
        <f>IF(B35&gt;=14,18,IF(B35&gt;=10,16,IF(B35&gt;=8,14,IF(B35&gt;=6,12,0))))</f>
        <v>0</v>
      </c>
    </row>
    <row r="36" spans="2:7" ht="15">
      <c r="B36" s="395" t="s">
        <v>147</v>
      </c>
      <c r="C36" s="406"/>
      <c r="D36" s="283"/>
      <c r="E36" s="283"/>
      <c r="F36" s="283"/>
      <c r="G36" s="278"/>
    </row>
    <row r="37" spans="2:7" ht="24" customHeight="1">
      <c r="B37" s="297"/>
      <c r="C37" s="298" t="s">
        <v>101</v>
      </c>
      <c r="D37" s="282" t="b">
        <v>0</v>
      </c>
      <c r="E37" s="282"/>
      <c r="F37" s="282"/>
      <c r="G37" s="272">
        <f>IF(D37=TRUE,1,0)</f>
        <v>0</v>
      </c>
    </row>
    <row r="38" spans="2:7" ht="33.75" customHeight="1">
      <c r="B38" s="297"/>
      <c r="C38" s="298" t="s">
        <v>102</v>
      </c>
      <c r="D38" s="282" t="b">
        <v>0</v>
      </c>
      <c r="E38" s="282"/>
      <c r="F38" s="282"/>
      <c r="G38" s="272">
        <f>IF(D38=TRUE,4,0)</f>
        <v>0</v>
      </c>
    </row>
    <row r="39" spans="2:7" ht="33.75" customHeight="1">
      <c r="B39" s="297"/>
      <c r="C39" s="298" t="s">
        <v>12</v>
      </c>
      <c r="D39" s="282" t="b">
        <v>0</v>
      </c>
      <c r="E39" s="282"/>
      <c r="F39" s="282"/>
      <c r="G39" s="272">
        <f>IF(D39=TRUE,3,0)</f>
        <v>0</v>
      </c>
    </row>
    <row r="40" spans="2:7" ht="35.25" customHeight="1">
      <c r="B40" s="412" t="s">
        <v>364</v>
      </c>
      <c r="C40" s="413"/>
      <c r="D40" s="282"/>
      <c r="E40" s="282"/>
      <c r="F40" s="312"/>
      <c r="G40" s="311"/>
    </row>
    <row r="41" spans="2:7" ht="21" customHeight="1">
      <c r="B41" s="297"/>
      <c r="C41" s="299" t="s">
        <v>65</v>
      </c>
      <c r="D41" s="282" t="b">
        <v>0</v>
      </c>
      <c r="E41" s="282">
        <f>IF(D41=TRUE,1,0)</f>
        <v>0</v>
      </c>
      <c r="F41" s="282">
        <f>IF(D41=TRUE,6,0)</f>
        <v>0</v>
      </c>
      <c r="G41" s="407">
        <f>IF(SUM(E41:E44)&gt;1,"Please check only one answer in this category.",MAX(F41:F43))</f>
        <v>0</v>
      </c>
    </row>
    <row r="42" spans="2:7" ht="21" customHeight="1">
      <c r="B42" s="297"/>
      <c r="C42" s="299" t="s">
        <v>64</v>
      </c>
      <c r="D42" s="282" t="b">
        <v>0</v>
      </c>
      <c r="E42" s="282">
        <f>IF(D42=TRUE,1,0)</f>
        <v>0</v>
      </c>
      <c r="F42" s="282">
        <f>IF(D42=TRUE,4,0)</f>
        <v>0</v>
      </c>
      <c r="G42" s="407"/>
    </row>
    <row r="43" spans="2:7" ht="21" customHeight="1">
      <c r="B43" s="297"/>
      <c r="C43" s="299" t="s">
        <v>66</v>
      </c>
      <c r="D43" s="282" t="b">
        <v>0</v>
      </c>
      <c r="E43" s="282">
        <f>IF(D43=TRUE,1,0)</f>
        <v>0</v>
      </c>
      <c r="F43" s="282">
        <f>IF(D43=TRUE,2,0)</f>
        <v>0</v>
      </c>
      <c r="G43" s="407"/>
    </row>
    <row r="44" spans="2:7" ht="21" customHeight="1">
      <c r="B44" s="297"/>
      <c r="C44" s="299" t="s">
        <v>80</v>
      </c>
      <c r="D44" s="282" t="b">
        <v>0</v>
      </c>
      <c r="E44" s="282">
        <f>IF(D44=TRUE,1,0)</f>
        <v>0</v>
      </c>
      <c r="F44" s="282"/>
      <c r="G44" s="407"/>
    </row>
    <row r="45" spans="2:7" ht="15">
      <c r="B45" s="404" t="s">
        <v>148</v>
      </c>
      <c r="C45" s="405"/>
      <c r="D45" s="283"/>
      <c r="E45" s="283"/>
      <c r="F45" s="283"/>
      <c r="G45" s="278"/>
    </row>
    <row r="46" spans="2:7" ht="33" customHeight="1">
      <c r="B46" s="292"/>
      <c r="C46" s="281" t="s">
        <v>67</v>
      </c>
      <c r="D46" s="282" t="b">
        <v>0</v>
      </c>
      <c r="E46" s="282"/>
      <c r="F46" s="312"/>
      <c r="G46" s="311">
        <f>IF(D46=TRUE,4,0)</f>
        <v>0</v>
      </c>
    </row>
    <row r="47" spans="2:7" ht="33" customHeight="1">
      <c r="B47" s="292"/>
      <c r="C47" s="281" t="s">
        <v>355</v>
      </c>
      <c r="D47" s="282" t="b">
        <v>0</v>
      </c>
      <c r="E47" s="282"/>
      <c r="F47" s="312"/>
      <c r="G47" s="311">
        <f>IF(D47=TRUE,1,0)</f>
        <v>0</v>
      </c>
    </row>
    <row r="48" spans="2:7" ht="21" customHeight="1">
      <c r="B48" s="292"/>
      <c r="C48" s="281" t="s">
        <v>107</v>
      </c>
      <c r="D48" s="282" t="b">
        <v>0</v>
      </c>
      <c r="E48" s="282"/>
      <c r="F48" s="312"/>
      <c r="G48" s="311">
        <f>IF(D48=TRUE,4,0)</f>
        <v>0</v>
      </c>
    </row>
    <row r="49" spans="2:7" ht="33" customHeight="1">
      <c r="B49" s="292"/>
      <c r="C49" s="281" t="s">
        <v>84</v>
      </c>
      <c r="D49" s="282" t="b">
        <v>0</v>
      </c>
      <c r="E49" s="282"/>
      <c r="F49" s="312"/>
      <c r="G49" s="311">
        <f>IF(D49=TRUE,1,0)</f>
        <v>0</v>
      </c>
    </row>
    <row r="50" spans="2:7" ht="33" customHeight="1">
      <c r="B50" s="292"/>
      <c r="C50" s="281" t="s">
        <v>361</v>
      </c>
      <c r="D50" s="282" t="b">
        <v>0</v>
      </c>
      <c r="E50" s="282"/>
      <c r="F50" s="312"/>
      <c r="G50" s="311">
        <f>IF(D50=TRUE,3,0)</f>
        <v>0</v>
      </c>
    </row>
    <row r="51" spans="2:7" ht="33" customHeight="1">
      <c r="B51" s="292"/>
      <c r="C51" s="281" t="s">
        <v>89</v>
      </c>
      <c r="D51" s="282" t="b">
        <v>0</v>
      </c>
      <c r="E51" s="282"/>
      <c r="F51" s="312"/>
      <c r="G51" s="311">
        <f>IF(D51=TRUE,3,0)</f>
        <v>0</v>
      </c>
    </row>
    <row r="52" spans="2:7" ht="33" customHeight="1">
      <c r="B52" s="292"/>
      <c r="C52" s="281" t="s">
        <v>45</v>
      </c>
      <c r="D52" s="294" t="b">
        <v>0</v>
      </c>
      <c r="E52" s="294"/>
      <c r="F52" s="313"/>
      <c r="G52" s="311">
        <f>IF(D52=TRUE,1,0)</f>
        <v>0</v>
      </c>
    </row>
    <row r="53" spans="2:7" ht="15.75" customHeight="1">
      <c r="B53" s="408" t="s">
        <v>176</v>
      </c>
      <c r="C53" s="409"/>
      <c r="D53" s="295"/>
      <c r="E53" s="295"/>
      <c r="F53" s="314"/>
      <c r="G53" s="365"/>
    </row>
    <row r="54" spans="2:7" ht="21" customHeight="1">
      <c r="B54" s="292"/>
      <c r="C54" s="300" t="s">
        <v>169</v>
      </c>
      <c r="D54" s="282" t="b">
        <v>0</v>
      </c>
      <c r="E54" s="282">
        <f aca="true" t="shared" si="0" ref="E54:E59">IF(D54=TRUE,1,0)</f>
        <v>0</v>
      </c>
      <c r="F54" s="312"/>
      <c r="G54" s="379">
        <f>IF(SUM(E54:E59)&gt;2,10,0)</f>
        <v>0</v>
      </c>
    </row>
    <row r="55" spans="2:7" ht="21" customHeight="1">
      <c r="B55" s="292"/>
      <c r="C55" s="300" t="s">
        <v>170</v>
      </c>
      <c r="D55" s="282" t="b">
        <v>0</v>
      </c>
      <c r="E55" s="282">
        <f t="shared" si="0"/>
        <v>0</v>
      </c>
      <c r="F55" s="312"/>
      <c r="G55" s="379"/>
    </row>
    <row r="56" spans="2:7" ht="21" customHeight="1">
      <c r="B56" s="292"/>
      <c r="C56" s="300" t="s">
        <v>132</v>
      </c>
      <c r="D56" s="282" t="b">
        <v>0</v>
      </c>
      <c r="E56" s="282">
        <f t="shared" si="0"/>
        <v>0</v>
      </c>
      <c r="F56" s="312"/>
      <c r="G56" s="379"/>
    </row>
    <row r="57" spans="2:7" ht="21" customHeight="1">
      <c r="B57" s="292"/>
      <c r="C57" s="300" t="s">
        <v>134</v>
      </c>
      <c r="D57" s="282" t="b">
        <v>0</v>
      </c>
      <c r="E57" s="282">
        <f t="shared" si="0"/>
        <v>0</v>
      </c>
      <c r="F57" s="312"/>
      <c r="G57" s="379"/>
    </row>
    <row r="58" spans="2:7" ht="21" customHeight="1">
      <c r="B58" s="292"/>
      <c r="C58" s="300" t="s">
        <v>133</v>
      </c>
      <c r="D58" s="282" t="b">
        <v>0</v>
      </c>
      <c r="E58" s="282">
        <f t="shared" si="0"/>
        <v>0</v>
      </c>
      <c r="F58" s="312"/>
      <c r="G58" s="379"/>
    </row>
    <row r="59" spans="2:7" ht="21" customHeight="1">
      <c r="B59" s="292"/>
      <c r="C59" s="300" t="s">
        <v>135</v>
      </c>
      <c r="D59" s="294" t="b">
        <v>0</v>
      </c>
      <c r="E59" s="294">
        <f t="shared" si="0"/>
        <v>0</v>
      </c>
      <c r="F59" s="313"/>
      <c r="G59" s="379"/>
    </row>
    <row r="60" spans="2:7" ht="13.5">
      <c r="B60" s="397" t="s">
        <v>136</v>
      </c>
      <c r="C60" s="399"/>
      <c r="D60" s="295"/>
      <c r="E60" s="295"/>
      <c r="F60" s="295"/>
      <c r="G60" s="315"/>
    </row>
    <row r="61" spans="2:7" ht="21" customHeight="1">
      <c r="B61" s="301"/>
      <c r="C61" s="299" t="s">
        <v>232</v>
      </c>
      <c r="D61" s="282" t="b">
        <v>0</v>
      </c>
      <c r="E61" s="282">
        <f>IF(D61=TRUE,1,0)</f>
        <v>0</v>
      </c>
      <c r="F61" s="312">
        <f>IF(D61=TRUE,16,0)</f>
        <v>0</v>
      </c>
      <c r="G61" s="379">
        <f>IF(SUM(E61:E64)&gt;1,"Please check only one answer in this category.",MAX(F61:F63))</f>
        <v>0</v>
      </c>
    </row>
    <row r="62" spans="2:7" ht="21" customHeight="1">
      <c r="B62" s="301"/>
      <c r="C62" s="299" t="s">
        <v>177</v>
      </c>
      <c r="D62" s="282" t="b">
        <v>0</v>
      </c>
      <c r="E62" s="282">
        <f>IF(D62=TRUE,1,0)</f>
        <v>0</v>
      </c>
      <c r="F62" s="312">
        <f>IF(D62=TRUE,1,0)</f>
        <v>0</v>
      </c>
      <c r="G62" s="415"/>
    </row>
    <row r="63" spans="2:7" ht="21" customHeight="1">
      <c r="B63" s="301"/>
      <c r="C63" s="299" t="s">
        <v>178</v>
      </c>
      <c r="D63" s="282" t="b">
        <v>0</v>
      </c>
      <c r="E63" s="282">
        <f>IF(D63=TRUE,1,0)</f>
        <v>0</v>
      </c>
      <c r="F63" s="312">
        <f>IF(D63=TRUE,1,0)</f>
        <v>0</v>
      </c>
      <c r="G63" s="415"/>
    </row>
    <row r="64" spans="2:7" ht="21" customHeight="1">
      <c r="B64" s="292"/>
      <c r="C64" s="281" t="s">
        <v>181</v>
      </c>
      <c r="D64" s="282" t="b">
        <v>0</v>
      </c>
      <c r="E64" s="282">
        <f>IF(D64=TRUE,1,0)</f>
        <v>0</v>
      </c>
      <c r="F64" s="312"/>
      <c r="G64" s="415"/>
    </row>
    <row r="65" spans="2:8" ht="15.75" customHeight="1">
      <c r="B65" s="395" t="s">
        <v>442</v>
      </c>
      <c r="C65" s="416"/>
      <c r="D65" s="302"/>
      <c r="E65" s="302"/>
      <c r="F65" s="302"/>
      <c r="G65" s="278"/>
      <c r="H65" s="7"/>
    </row>
    <row r="66" spans="2:7" ht="30" customHeight="1">
      <c r="B66" s="292"/>
      <c r="C66" s="281" t="s">
        <v>53</v>
      </c>
      <c r="D66" s="282" t="b">
        <v>0</v>
      </c>
      <c r="E66" s="282"/>
      <c r="F66" s="312"/>
      <c r="G66" s="311">
        <f>IF(D66=TRUE,2,0)</f>
        <v>0</v>
      </c>
    </row>
    <row r="67" spans="2:7" ht="24" customHeight="1">
      <c r="B67" s="292"/>
      <c r="C67" s="281" t="s">
        <v>61</v>
      </c>
      <c r="D67" s="282" t="b">
        <v>0</v>
      </c>
      <c r="E67" s="282"/>
      <c r="F67" s="312"/>
      <c r="G67" s="311">
        <f>IF(D67=TRUE,3,0)</f>
        <v>0</v>
      </c>
    </row>
    <row r="68" spans="2:7" ht="24" customHeight="1">
      <c r="B68" s="292"/>
      <c r="C68" s="281" t="s">
        <v>93</v>
      </c>
      <c r="D68" s="282" t="b">
        <v>0</v>
      </c>
      <c r="E68" s="282"/>
      <c r="F68" s="312"/>
      <c r="G68" s="311">
        <f>IF(D68=TRUE,2,0)</f>
        <v>0</v>
      </c>
    </row>
    <row r="69" spans="2:7" ht="24" customHeight="1">
      <c r="B69" s="292"/>
      <c r="C69" s="281" t="s">
        <v>99</v>
      </c>
      <c r="D69" s="282" t="b">
        <v>0</v>
      </c>
      <c r="E69" s="282"/>
      <c r="F69" s="312"/>
      <c r="G69" s="311">
        <f>IF(D69=TRUE,2,0)</f>
        <v>0</v>
      </c>
    </row>
    <row r="70" spans="2:7" ht="25.5" customHeight="1">
      <c r="B70" s="360"/>
      <c r="C70" s="299" t="s">
        <v>444</v>
      </c>
      <c r="D70" s="279" t="b">
        <v>0</v>
      </c>
      <c r="E70" s="279"/>
      <c r="F70" s="361"/>
      <c r="G70" s="364">
        <f>IF(D70=TRUE,5,0)</f>
        <v>0</v>
      </c>
    </row>
    <row r="71" spans="2:7" ht="20.25" customHeight="1">
      <c r="B71" s="395" t="s">
        <v>124</v>
      </c>
      <c r="C71" s="406"/>
      <c r="D71" s="302"/>
      <c r="E71" s="302"/>
      <c r="F71" s="302"/>
      <c r="G71" s="278"/>
    </row>
    <row r="72" spans="2:7" ht="33" customHeight="1">
      <c r="B72" s="303"/>
      <c r="C72" s="281" t="s">
        <v>434</v>
      </c>
      <c r="D72" s="282" t="b">
        <v>0</v>
      </c>
      <c r="E72" s="282">
        <f>IF(D72=TRUE,1,0)</f>
        <v>0</v>
      </c>
      <c r="F72" s="312">
        <f>IF(D72=TRUE,2,0)</f>
        <v>0</v>
      </c>
      <c r="G72" s="379">
        <f>IF(SUM(E72:E73)&gt;1,"Please check only one answer in this category.",MAX(F72:F73))</f>
        <v>0</v>
      </c>
    </row>
    <row r="73" spans="2:7" ht="21" customHeight="1" thickBot="1">
      <c r="B73" s="303"/>
      <c r="C73" s="281" t="s">
        <v>100</v>
      </c>
      <c r="D73" s="282" t="b">
        <v>0</v>
      </c>
      <c r="E73" s="282">
        <f>IF(D73=TRUE,1,0)</f>
        <v>0</v>
      </c>
      <c r="F73" s="312">
        <f>IF(D73=TRUE,4,0)</f>
        <v>0</v>
      </c>
      <c r="G73" s="414"/>
    </row>
    <row r="74" spans="2:7" ht="28.5" customHeight="1" thickBot="1">
      <c r="B74" s="417" t="s">
        <v>345</v>
      </c>
      <c r="C74" s="418"/>
      <c r="D74" s="304"/>
      <c r="E74" s="304"/>
      <c r="F74" s="304"/>
      <c r="G74" s="305">
        <f>SUM(G4:G73)</f>
        <v>0</v>
      </c>
    </row>
  </sheetData>
  <sheetProtection password="F03D" sheet="1" objects="1" scenarios="1"/>
  <mergeCells count="29">
    <mergeCell ref="G72:G73"/>
    <mergeCell ref="G61:G64"/>
    <mergeCell ref="B65:C65"/>
    <mergeCell ref="G54:G59"/>
    <mergeCell ref="B60:C60"/>
    <mergeCell ref="B74:C74"/>
    <mergeCell ref="B53:C53"/>
    <mergeCell ref="B29:C29"/>
    <mergeCell ref="B36:C36"/>
    <mergeCell ref="B34:C34"/>
    <mergeCell ref="B40:C40"/>
    <mergeCell ref="B71:C71"/>
    <mergeCell ref="B21:C21"/>
    <mergeCell ref="B45:C45"/>
    <mergeCell ref="B19:C19"/>
    <mergeCell ref="G7:G10"/>
    <mergeCell ref="B26:C26"/>
    <mergeCell ref="G41:G44"/>
    <mergeCell ref="G22:G23"/>
    <mergeCell ref="G24:G25"/>
    <mergeCell ref="G30:G33"/>
    <mergeCell ref="G14:G16"/>
    <mergeCell ref="B2:C2"/>
    <mergeCell ref="B12:C12"/>
    <mergeCell ref="B17:C17"/>
    <mergeCell ref="B13:C13"/>
    <mergeCell ref="B4:C4"/>
    <mergeCell ref="D7:D9"/>
    <mergeCell ref="B7:C7"/>
  </mergeCells>
  <printOptions/>
  <pageMargins left="0.7" right="0.7" top="0.75" bottom="0.75" header="0.3" footer="0.3"/>
  <pageSetup fitToHeight="2" fitToWidth="1" horizontalDpi="600" verticalDpi="600" orientation="portrait" scale="72"/>
  <headerFooter alignWithMargins="0">
    <oddHeader>&amp;R11/15/2012</oddHeader>
  </headerFooter>
  <rowBreaks count="2" manualBreakCount="2">
    <brk id="25" min="1" max="6" man="1"/>
    <brk id="52" min="1" max="6" man="1"/>
  </rowBreaks>
  <ignoredErrors>
    <ignoredError sqref="G47:G48 G67" formula="1"/>
  </ignoredErrors>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J81"/>
  <sheetViews>
    <sheetView tabSelected="1" zoomScale="125" zoomScaleNormal="125" zoomScaleSheetLayoutView="100" workbookViewId="0" topLeftCell="A1">
      <selection activeCell="B3" sqref="B3:C3"/>
    </sheetView>
  </sheetViews>
  <sheetFormatPr defaultColWidth="8.8515625" defaultRowHeight="15"/>
  <cols>
    <col min="1" max="1" width="5.140625" style="0" customWidth="1"/>
    <col min="2" max="2" width="9.28125" style="0" customWidth="1"/>
    <col min="3" max="3" width="73.7109375" style="0" customWidth="1"/>
    <col min="4" max="4" width="6.7109375" style="4" hidden="1" customWidth="1"/>
    <col min="5" max="5" width="3.140625" style="4" hidden="1" customWidth="1"/>
    <col min="6" max="6" width="3.00390625" style="4" hidden="1" customWidth="1"/>
    <col min="7" max="7" width="4.140625" style="4" hidden="1" customWidth="1"/>
    <col min="8" max="8" width="15.7109375" style="1" customWidth="1"/>
    <col min="9" max="9" width="8.8515625" style="0" customWidth="1"/>
    <col min="10" max="10" width="35.7109375" style="0" customWidth="1"/>
  </cols>
  <sheetData>
    <row r="1" ht="15" thickBot="1"/>
    <row r="2" spans="2:8" ht="66" customHeight="1">
      <c r="B2" s="424" t="s">
        <v>460</v>
      </c>
      <c r="C2" s="425"/>
      <c r="D2" s="240"/>
      <c r="E2" s="240"/>
      <c r="F2" s="240"/>
      <c r="G2" s="240"/>
      <c r="H2" s="241"/>
    </row>
    <row r="3" spans="2:8" ht="15.75" customHeight="1">
      <c r="B3" s="376" t="s">
        <v>85</v>
      </c>
      <c r="C3" s="434"/>
      <c r="D3" s="323"/>
      <c r="E3" s="114"/>
      <c r="F3" s="114"/>
      <c r="G3" s="114"/>
      <c r="H3" s="121"/>
    </row>
    <row r="4" spans="2:8" ht="24" customHeight="1">
      <c r="B4" s="122"/>
      <c r="C4" s="111" t="s">
        <v>20</v>
      </c>
      <c r="D4" s="319" t="b">
        <v>0</v>
      </c>
      <c r="E4" s="193"/>
      <c r="F4" s="193"/>
      <c r="G4" s="193"/>
      <c r="H4" s="316">
        <f>IF(D4=TRUE,40,0)</f>
        <v>0</v>
      </c>
    </row>
    <row r="5" spans="2:8" ht="15.75" customHeight="1">
      <c r="B5" s="376" t="s">
        <v>87</v>
      </c>
      <c r="C5" s="419"/>
      <c r="D5" s="114"/>
      <c r="E5" s="114"/>
      <c r="F5" s="114"/>
      <c r="G5" s="114"/>
      <c r="H5" s="123"/>
    </row>
    <row r="6" spans="2:8" ht="63.75" customHeight="1">
      <c r="B6" s="382" t="s">
        <v>409</v>
      </c>
      <c r="C6" s="383"/>
      <c r="D6" s="115"/>
      <c r="E6" s="115"/>
      <c r="F6" s="115"/>
      <c r="G6" s="115"/>
      <c r="H6" s="317"/>
    </row>
    <row r="7" spans="2:8" ht="34.5" customHeight="1">
      <c r="B7" s="204">
        <v>0</v>
      </c>
      <c r="C7" s="109" t="s">
        <v>21</v>
      </c>
      <c r="D7" s="194"/>
      <c r="E7" s="194"/>
      <c r="F7" s="194"/>
      <c r="G7" s="194"/>
      <c r="H7" s="316">
        <f>IF(B7&gt;79,15,IF(B7&gt;59,12,IF(B7&gt;49,9,IF(B7&gt;39,6,IF(B7&gt;24,3,0)))))</f>
        <v>0</v>
      </c>
    </row>
    <row r="8" spans="2:8" ht="15.75" customHeight="1">
      <c r="B8" s="376" t="s">
        <v>88</v>
      </c>
      <c r="C8" s="419"/>
      <c r="D8" s="116"/>
      <c r="E8" s="116"/>
      <c r="F8" s="116"/>
      <c r="G8" s="116"/>
      <c r="H8" s="124"/>
    </row>
    <row r="9" spans="2:8" ht="23.25" customHeight="1">
      <c r="B9" s="435" t="s">
        <v>160</v>
      </c>
      <c r="C9" s="419"/>
      <c r="D9" s="113"/>
      <c r="E9" s="113"/>
      <c r="F9" s="113"/>
      <c r="G9" s="113"/>
      <c r="H9" s="318"/>
    </row>
    <row r="10" spans="2:8" ht="34.5" customHeight="1">
      <c r="B10" s="203">
        <v>100</v>
      </c>
      <c r="C10" s="110" t="s">
        <v>4</v>
      </c>
      <c r="D10" s="195">
        <f>IF(B10&gt;74,0,IF(B10&gt;59,2,IF(B10&gt;39,4,IF(B10&gt;29,6,IF(B10&gt;19,8,10)))))</f>
        <v>0</v>
      </c>
      <c r="E10" s="195">
        <f>IF(B10&gt;74,0,IF(B10&gt;59,2,IF(B10&gt;39,4,IF(B10&gt;29,6,IF(B10&gt;19,8,10)))))</f>
        <v>0</v>
      </c>
      <c r="F10" s="195"/>
      <c r="G10" s="195"/>
      <c r="H10" s="426">
        <f>IF(SUM(F12:F17)&gt;1,"Please check only one answer in this category.",IF(E10=0,0,MAX(E10:E17)))</f>
        <v>0</v>
      </c>
    </row>
    <row r="11" spans="2:8" ht="21" customHeight="1">
      <c r="B11" s="432" t="s">
        <v>179</v>
      </c>
      <c r="C11" s="433"/>
      <c r="D11" s="195"/>
      <c r="E11" s="195"/>
      <c r="F11" s="195"/>
      <c r="G11" s="195"/>
      <c r="H11" s="426"/>
    </row>
    <row r="12" spans="2:8" ht="21" customHeight="1">
      <c r="B12" s="125"/>
      <c r="C12" s="110" t="s">
        <v>5</v>
      </c>
      <c r="D12" s="195" t="b">
        <v>0</v>
      </c>
      <c r="E12" s="195"/>
      <c r="F12" s="195">
        <f aca="true" t="shared" si="0" ref="F12:F17">IF(D12=TRUE,1,0)</f>
        <v>0</v>
      </c>
      <c r="G12" s="195"/>
      <c r="H12" s="426"/>
    </row>
    <row r="13" spans="2:8" ht="21" customHeight="1">
      <c r="B13" s="125"/>
      <c r="C13" s="119" t="s">
        <v>162</v>
      </c>
      <c r="D13" s="195" t="b">
        <v>0</v>
      </c>
      <c r="E13" s="195">
        <f>IF(D13=TRUE,2,0)</f>
        <v>0</v>
      </c>
      <c r="F13" s="195">
        <f t="shared" si="0"/>
        <v>0</v>
      </c>
      <c r="G13" s="195"/>
      <c r="H13" s="426"/>
    </row>
    <row r="14" spans="2:8" ht="21" customHeight="1">
      <c r="B14" s="125"/>
      <c r="C14" s="119" t="s">
        <v>163</v>
      </c>
      <c r="D14" s="195" t="b">
        <v>0</v>
      </c>
      <c r="E14" s="195">
        <f>IF(D14=TRUE,4,0)</f>
        <v>0</v>
      </c>
      <c r="F14" s="195">
        <f t="shared" si="0"/>
        <v>0</v>
      </c>
      <c r="G14" s="195"/>
      <c r="H14" s="426"/>
    </row>
    <row r="15" spans="2:8" ht="21" customHeight="1">
      <c r="B15" s="125"/>
      <c r="C15" s="119" t="s">
        <v>164</v>
      </c>
      <c r="D15" s="195" t="b">
        <v>0</v>
      </c>
      <c r="E15" s="195">
        <f>IF(D15=TRUE,6,0)</f>
        <v>0</v>
      </c>
      <c r="F15" s="195">
        <f t="shared" si="0"/>
        <v>0</v>
      </c>
      <c r="G15" s="195"/>
      <c r="H15" s="426"/>
    </row>
    <row r="16" spans="2:8" ht="21" customHeight="1">
      <c r="B16" s="125"/>
      <c r="C16" s="119" t="s">
        <v>165</v>
      </c>
      <c r="D16" s="195" t="b">
        <v>0</v>
      </c>
      <c r="E16" s="195">
        <f>IF(D16=TRUE,8,0)</f>
        <v>0</v>
      </c>
      <c r="F16" s="195">
        <f t="shared" si="0"/>
        <v>0</v>
      </c>
      <c r="G16" s="195"/>
      <c r="H16" s="426"/>
    </row>
    <row r="17" spans="2:8" ht="21" customHeight="1">
      <c r="B17" s="126"/>
      <c r="C17" s="120" t="s">
        <v>166</v>
      </c>
      <c r="D17" s="195" t="b">
        <v>0</v>
      </c>
      <c r="E17" s="195">
        <f>IF(D17=TRUE,10,0)</f>
        <v>0</v>
      </c>
      <c r="F17" s="195">
        <f t="shared" si="0"/>
        <v>0</v>
      </c>
      <c r="G17" s="195"/>
      <c r="H17" s="426"/>
    </row>
    <row r="18" spans="2:8" ht="15.75" customHeight="1">
      <c r="B18" s="376" t="s">
        <v>19</v>
      </c>
      <c r="C18" s="419"/>
      <c r="D18" s="114"/>
      <c r="E18" s="114"/>
      <c r="F18" s="114"/>
      <c r="G18" s="114"/>
      <c r="H18" s="127"/>
    </row>
    <row r="19" spans="2:10" ht="53.25" customHeight="1">
      <c r="B19" s="427" t="s">
        <v>96</v>
      </c>
      <c r="C19" s="428"/>
      <c r="D19" s="118"/>
      <c r="E19" s="118"/>
      <c r="F19" s="118"/>
      <c r="G19" s="118"/>
      <c r="H19" s="320"/>
      <c r="J19" s="6"/>
    </row>
    <row r="20" spans="2:8" ht="34.5" customHeight="1">
      <c r="B20" s="202">
        <v>0</v>
      </c>
      <c r="C20" s="111" t="s">
        <v>6</v>
      </c>
      <c r="D20" s="196"/>
      <c r="E20" s="196"/>
      <c r="F20" s="196"/>
      <c r="G20" s="196"/>
      <c r="H20" s="321">
        <f>IF(B20&gt;89,15,IF(B20&gt;74,12,IF(B20&gt;59,9,IF(B20&gt;44,6,IF(B20&gt;29,3,0)))))</f>
        <v>0</v>
      </c>
    </row>
    <row r="21" spans="2:8" ht="15.75" customHeight="1">
      <c r="B21" s="376" t="s">
        <v>44</v>
      </c>
      <c r="C21" s="419"/>
      <c r="D21" s="114"/>
      <c r="E21" s="114"/>
      <c r="F21" s="114"/>
      <c r="G21" s="114"/>
      <c r="H21" s="129"/>
    </row>
    <row r="22" spans="2:8" ht="60.75" customHeight="1">
      <c r="B22" s="380" t="s">
        <v>106</v>
      </c>
      <c r="C22" s="381"/>
      <c r="D22" s="117"/>
      <c r="E22" s="117"/>
      <c r="F22" s="117"/>
      <c r="G22" s="117"/>
      <c r="H22" s="322"/>
    </row>
    <row r="23" spans="2:8" ht="34.5" customHeight="1">
      <c r="B23" s="202">
        <v>0</v>
      </c>
      <c r="C23" s="111" t="s">
        <v>362</v>
      </c>
      <c r="D23" s="196"/>
      <c r="E23" s="196"/>
      <c r="F23" s="196"/>
      <c r="G23" s="196"/>
      <c r="H23" s="321">
        <f>IF(B23&gt;49,10,IF(B23&gt;39,8,IF(B23&gt;29,6,IF(B23&gt;19,4,IF(B23&gt;9,2,0)))))</f>
        <v>0</v>
      </c>
    </row>
    <row r="24" spans="2:8" ht="15.75" customHeight="1">
      <c r="B24" s="376" t="s">
        <v>104</v>
      </c>
      <c r="C24" s="419"/>
      <c r="D24" s="114"/>
      <c r="E24" s="114"/>
      <c r="F24" s="114"/>
      <c r="G24" s="114"/>
      <c r="H24" s="123"/>
    </row>
    <row r="25" spans="2:8" s="7" customFormat="1" ht="19.5" customHeight="1">
      <c r="B25" s="380" t="s">
        <v>103</v>
      </c>
      <c r="C25" s="419"/>
      <c r="D25" s="117"/>
      <c r="E25" s="117"/>
      <c r="F25" s="117"/>
      <c r="G25" s="117"/>
      <c r="H25" s="322"/>
    </row>
    <row r="26" spans="2:8" ht="34.5" customHeight="1">
      <c r="B26" s="202">
        <v>0</v>
      </c>
      <c r="C26" s="112" t="s">
        <v>7</v>
      </c>
      <c r="D26" s="196"/>
      <c r="E26" s="196"/>
      <c r="F26" s="196">
        <f>IF(B26&gt;94,15,IF(B26&gt;89,12,IF(B26&gt;84,9,IF(B26&gt;69,6,IF(B26&gt;54,3,0)))))</f>
        <v>0</v>
      </c>
      <c r="G26" s="196">
        <f>IF(B26&gt;94,15,IF(B26&gt;89,12,IF(B26&gt;84,9,IF(B26&gt;69,6,IF(B26&gt;54,3,0)))))</f>
        <v>0</v>
      </c>
      <c r="H26" s="420">
        <f>IF(SUM(E28:E31)&gt;1,"Please check only one answer in this category.",IF(SUM(E33:E35)&gt;1,"Please check only one answer in this category.",MIN(G26:G27)))</f>
        <v>0</v>
      </c>
    </row>
    <row r="27" spans="2:8" ht="24" customHeight="1">
      <c r="B27" s="380" t="s">
        <v>157</v>
      </c>
      <c r="C27" s="381"/>
      <c r="D27" s="197"/>
      <c r="E27" s="197"/>
      <c r="F27" s="197"/>
      <c r="G27" s="197">
        <f>MAX(G28:G35)</f>
        <v>0</v>
      </c>
      <c r="H27" s="421"/>
    </row>
    <row r="28" spans="2:8" ht="24" customHeight="1">
      <c r="B28" s="130"/>
      <c r="C28" s="111" t="s">
        <v>28</v>
      </c>
      <c r="D28" s="198" t="b">
        <v>0</v>
      </c>
      <c r="E28" s="198">
        <f>IF(D28=TRUE,1,0)</f>
        <v>0</v>
      </c>
      <c r="F28" s="198"/>
      <c r="G28" s="198">
        <f>SUM(F28:F31)</f>
        <v>0</v>
      </c>
      <c r="H28" s="421"/>
    </row>
    <row r="29" spans="2:8" ht="24" customHeight="1">
      <c r="B29" s="130"/>
      <c r="C29" s="111" t="s">
        <v>29</v>
      </c>
      <c r="D29" s="198" t="b">
        <v>0</v>
      </c>
      <c r="E29" s="198">
        <f aca="true" t="shared" si="1" ref="E29:E35">IF(D29=TRUE,1,0)</f>
        <v>0</v>
      </c>
      <c r="F29" s="198">
        <f>IF(D29=TRUE,3,0)</f>
        <v>0</v>
      </c>
      <c r="G29" s="198"/>
      <c r="H29" s="421"/>
    </row>
    <row r="30" spans="2:8" ht="24" customHeight="1">
      <c r="B30" s="130"/>
      <c r="C30" s="111" t="s">
        <v>30</v>
      </c>
      <c r="D30" s="198" t="b">
        <v>0</v>
      </c>
      <c r="E30" s="198">
        <f t="shared" si="1"/>
        <v>0</v>
      </c>
      <c r="F30" s="198">
        <f>IF(D30=TRUE,12,0)</f>
        <v>0</v>
      </c>
      <c r="G30" s="198"/>
      <c r="H30" s="421"/>
    </row>
    <row r="31" spans="2:8" ht="24" customHeight="1">
      <c r="B31" s="130"/>
      <c r="C31" s="111" t="s">
        <v>31</v>
      </c>
      <c r="D31" s="198" t="b">
        <v>0</v>
      </c>
      <c r="E31" s="198">
        <f t="shared" si="1"/>
        <v>0</v>
      </c>
      <c r="F31" s="198">
        <f>IF(D31=TRUE,15,0)</f>
        <v>0</v>
      </c>
      <c r="G31" s="198"/>
      <c r="H31" s="421"/>
    </row>
    <row r="32" spans="2:8" ht="21.75" customHeight="1">
      <c r="B32" s="380" t="s">
        <v>158</v>
      </c>
      <c r="C32" s="381"/>
      <c r="D32" s="198"/>
      <c r="E32" s="198"/>
      <c r="F32" s="198"/>
      <c r="G32" s="198"/>
      <c r="H32" s="421"/>
    </row>
    <row r="33" spans="2:8" ht="24" customHeight="1">
      <c r="B33" s="130"/>
      <c r="C33" s="111" t="s">
        <v>28</v>
      </c>
      <c r="D33" s="198" t="b">
        <v>0</v>
      </c>
      <c r="E33" s="198">
        <f>IF(D33=TRUE,1,0)</f>
        <v>0</v>
      </c>
      <c r="F33" s="198"/>
      <c r="G33" s="198"/>
      <c r="H33" s="421"/>
    </row>
    <row r="34" spans="2:8" ht="24" customHeight="1">
      <c r="B34" s="130"/>
      <c r="C34" s="111" t="s">
        <v>159</v>
      </c>
      <c r="D34" s="198" t="b">
        <v>0</v>
      </c>
      <c r="E34" s="198">
        <f t="shared" si="1"/>
        <v>0</v>
      </c>
      <c r="F34" s="198">
        <f>IF(D34=TRUE,6,0)</f>
        <v>0</v>
      </c>
      <c r="G34" s="198">
        <f>SUM(F33:F35)</f>
        <v>0</v>
      </c>
      <c r="H34" s="421"/>
    </row>
    <row r="35" spans="2:8" ht="24" customHeight="1">
      <c r="B35" s="130"/>
      <c r="C35" s="111" t="s">
        <v>32</v>
      </c>
      <c r="D35" s="198" t="b">
        <v>0</v>
      </c>
      <c r="E35" s="198">
        <f t="shared" si="1"/>
        <v>0</v>
      </c>
      <c r="F35" s="198">
        <f>IF(D35=TRUE,9,0)</f>
        <v>0</v>
      </c>
      <c r="G35" s="198"/>
      <c r="H35" s="421"/>
    </row>
    <row r="36" spans="2:8" ht="15">
      <c r="B36" s="376" t="s">
        <v>81</v>
      </c>
      <c r="C36" s="419"/>
      <c r="D36" s="114"/>
      <c r="E36" s="114"/>
      <c r="F36" s="114"/>
      <c r="G36" s="114"/>
      <c r="H36" s="123"/>
    </row>
    <row r="37" spans="2:8" ht="27.75" customHeight="1">
      <c r="B37" s="380" t="s">
        <v>173</v>
      </c>
      <c r="C37" s="381"/>
      <c r="D37" s="199"/>
      <c r="E37" s="200"/>
      <c r="F37" s="200"/>
      <c r="G37" s="200"/>
      <c r="H37" s="422">
        <f>IF(SUM(E40:E41)&gt;1,"Please check only one answer in this category",MIN(G38:G43))</f>
        <v>0</v>
      </c>
    </row>
    <row r="38" spans="2:8" ht="34.5" customHeight="1">
      <c r="B38" s="202">
        <v>0</v>
      </c>
      <c r="C38" s="112" t="s">
        <v>7</v>
      </c>
      <c r="D38" s="196"/>
      <c r="E38" s="196"/>
      <c r="F38" s="196">
        <f>IF(B38&gt;29,10,IF(B38&gt;19,8,IF(B38&gt;14,6,IF(B38&gt;9,4,IF(B38&gt;4,2,0)))))</f>
        <v>0</v>
      </c>
      <c r="G38" s="196">
        <f>IF(B38&gt;29,10,IF(B38&gt;19,8,IF(B38&gt;14,6,IF(B38&gt;9,4,IF(B38&gt;4,2,0)))))</f>
        <v>0</v>
      </c>
      <c r="H38" s="422"/>
    </row>
    <row r="39" spans="2:8" ht="23.25" customHeight="1">
      <c r="B39" s="380" t="s">
        <v>171</v>
      </c>
      <c r="C39" s="381"/>
      <c r="D39" s="199"/>
      <c r="E39" s="199"/>
      <c r="F39" s="199"/>
      <c r="G39" s="199"/>
      <c r="H39" s="422"/>
    </row>
    <row r="40" spans="2:8" ht="34.5" customHeight="1">
      <c r="B40" s="131"/>
      <c r="C40" s="324" t="s">
        <v>33</v>
      </c>
      <c r="D40" s="199" t="b">
        <v>0</v>
      </c>
      <c r="E40" s="199">
        <f>IF(D40=TRUE,1,0)</f>
        <v>0</v>
      </c>
      <c r="F40" s="199"/>
      <c r="G40" s="199">
        <f>IF(F43=10,MIN(F40:F43),4)</f>
        <v>4</v>
      </c>
      <c r="H40" s="422"/>
    </row>
    <row r="41" spans="2:8" ht="37.5" customHeight="1">
      <c r="B41" s="243">
        <v>0</v>
      </c>
      <c r="C41" s="111" t="s">
        <v>22</v>
      </c>
      <c r="D41" s="199"/>
      <c r="E41" s="199">
        <f>IF(D41=TRUE,1,0)</f>
        <v>0</v>
      </c>
      <c r="F41" s="199">
        <f>IF(D40=TRUE,0,IF(B41&lt;1,10,IF(B41&lt;1.1,8,IF(B41&lt;1.6,6,IF(B41&lt;2.1,4,0)))))</f>
        <v>10</v>
      </c>
      <c r="G41" s="199"/>
      <c r="H41" s="422"/>
    </row>
    <row r="42" spans="2:8" ht="23.25" customHeight="1">
      <c r="B42" s="380" t="s">
        <v>203</v>
      </c>
      <c r="C42" s="381"/>
      <c r="D42" s="199"/>
      <c r="E42" s="199"/>
      <c r="F42" s="199"/>
      <c r="G42" s="200"/>
      <c r="H42" s="422"/>
    </row>
    <row r="43" spans="2:8" ht="33.75" customHeight="1">
      <c r="B43" s="131"/>
      <c r="C43" s="111" t="s">
        <v>34</v>
      </c>
      <c r="D43" s="199" t="b">
        <v>0</v>
      </c>
      <c r="E43" s="199"/>
      <c r="F43" s="199">
        <f>IF(D43=TRUE,10,0)</f>
        <v>0</v>
      </c>
      <c r="G43" s="199"/>
      <c r="H43" s="422"/>
    </row>
    <row r="44" spans="1:8" ht="15.75" customHeight="1">
      <c r="A44" s="5"/>
      <c r="B44" s="376" t="s">
        <v>410</v>
      </c>
      <c r="C44" s="419"/>
      <c r="D44" s="114"/>
      <c r="E44" s="114"/>
      <c r="F44" s="114"/>
      <c r="G44" s="114"/>
      <c r="H44" s="123"/>
    </row>
    <row r="45" spans="2:8" ht="22.5" customHeight="1">
      <c r="B45" s="380" t="s">
        <v>172</v>
      </c>
      <c r="C45" s="381"/>
      <c r="D45" s="200"/>
      <c r="E45" s="200"/>
      <c r="F45" s="200"/>
      <c r="G45" s="200"/>
      <c r="H45" s="422">
        <f>IF(SUM(E48:E49)&gt;1,"Please check only one answer in this category",MIN(G46:G51))</f>
        <v>0</v>
      </c>
    </row>
    <row r="46" spans="2:8" ht="34.5" customHeight="1">
      <c r="B46" s="202">
        <v>0</v>
      </c>
      <c r="C46" s="112" t="s">
        <v>7</v>
      </c>
      <c r="D46" s="196"/>
      <c r="E46" s="196"/>
      <c r="F46" s="196">
        <f>IF(B46&gt;29,10,IF(B46&gt;19,8,IF(B46&gt;14,6,IF(B46&gt;9,4,IF(B46&gt;4,2,0)))))</f>
        <v>0</v>
      </c>
      <c r="G46" s="196">
        <f>IF(B46&gt;29,10,IF(B46&gt;19,8,IF(B46&gt;14,6,IF(B46&gt;9,4,IF(B46&gt;4,2,0)))))</f>
        <v>0</v>
      </c>
      <c r="H46" s="422"/>
    </row>
    <row r="47" spans="2:8" ht="31.5" customHeight="1">
      <c r="B47" s="380" t="s">
        <v>413</v>
      </c>
      <c r="C47" s="381"/>
      <c r="D47" s="200"/>
      <c r="E47" s="199"/>
      <c r="F47" s="199"/>
      <c r="G47" s="199"/>
      <c r="H47" s="422"/>
    </row>
    <row r="48" spans="2:8" ht="36" customHeight="1">
      <c r="B48" s="131"/>
      <c r="C48" s="324" t="s">
        <v>411</v>
      </c>
      <c r="D48" s="200" t="b">
        <v>0</v>
      </c>
      <c r="E48" s="199">
        <f>IF(D48=TRUE,1,0)</f>
        <v>0</v>
      </c>
      <c r="F48" s="199"/>
      <c r="G48" s="199">
        <f>IF(F51=10,MIN(F48:F51),4)</f>
        <v>4</v>
      </c>
      <c r="H48" s="422"/>
    </row>
    <row r="49" spans="2:8" ht="34.5" customHeight="1">
      <c r="B49" s="202">
        <v>0</v>
      </c>
      <c r="C49" s="111" t="s">
        <v>412</v>
      </c>
      <c r="D49" s="200"/>
      <c r="E49" s="199">
        <f>IF(D49=TRUE,1,0)</f>
        <v>0</v>
      </c>
      <c r="F49" s="199">
        <f>IF(D48=TRUE,0,IF(B49&lt;1.1,10,IF(B49&lt;2.1,8,IF(B49&lt;3.1,6,IF(B49&lt;4.1,4,0)))))</f>
        <v>10</v>
      </c>
      <c r="G49" s="199"/>
      <c r="H49" s="422"/>
    </row>
    <row r="50" spans="2:8" ht="23.25" customHeight="1">
      <c r="B50" s="380" t="s">
        <v>203</v>
      </c>
      <c r="C50" s="381"/>
      <c r="D50" s="200"/>
      <c r="E50" s="199"/>
      <c r="F50" s="199"/>
      <c r="G50" s="200"/>
      <c r="H50" s="422"/>
    </row>
    <row r="51" spans="2:8" ht="33.75" customHeight="1" thickBot="1">
      <c r="B51" s="224"/>
      <c r="C51" s="143" t="s">
        <v>35</v>
      </c>
      <c r="D51" s="225" t="b">
        <v>0</v>
      </c>
      <c r="E51" s="226"/>
      <c r="F51" s="226">
        <f>IF(D51=TRUE,10,0)</f>
        <v>0</v>
      </c>
      <c r="G51" s="226"/>
      <c r="H51" s="423"/>
    </row>
    <row r="52" spans="1:8" ht="15.75" customHeight="1">
      <c r="A52" s="5"/>
      <c r="B52" s="436" t="s">
        <v>82</v>
      </c>
      <c r="C52" s="437"/>
      <c r="D52" s="183"/>
      <c r="E52" s="183"/>
      <c r="F52" s="183"/>
      <c r="G52" s="183"/>
      <c r="H52" s="207"/>
    </row>
    <row r="53" spans="2:8" ht="22.5" customHeight="1">
      <c r="B53" s="380" t="s">
        <v>204</v>
      </c>
      <c r="C53" s="381"/>
      <c r="D53" s="200"/>
      <c r="E53" s="200"/>
      <c r="F53" s="200"/>
      <c r="G53" s="200"/>
      <c r="H53" s="422">
        <f>IF(D61=TRUE,IF(D56=TRUE,F54,IF(SUM(E58:E59)&lt;=1,MIN(F54:F59),F54)),0)</f>
        <v>0</v>
      </c>
    </row>
    <row r="54" spans="2:8" ht="34.5" customHeight="1">
      <c r="B54" s="202">
        <v>0</v>
      </c>
      <c r="C54" s="112" t="s">
        <v>7</v>
      </c>
      <c r="D54" s="196"/>
      <c r="E54" s="196"/>
      <c r="F54" s="196">
        <f>IF(B54&gt;89,5,IF(B54&gt;74,4,IF(B54&gt;44,3,IF(B54&gt;29,1,0))))</f>
        <v>0</v>
      </c>
      <c r="G54" s="196"/>
      <c r="H54" s="422"/>
    </row>
    <row r="55" spans="2:8" ht="23.25" customHeight="1">
      <c r="B55" s="380" t="s">
        <v>231</v>
      </c>
      <c r="C55" s="381"/>
      <c r="D55" s="200"/>
      <c r="E55" s="199"/>
      <c r="F55" s="199"/>
      <c r="G55" s="199"/>
      <c r="H55" s="422"/>
    </row>
    <row r="56" spans="2:8" ht="24" customHeight="1">
      <c r="B56" s="131"/>
      <c r="C56" s="111" t="s">
        <v>36</v>
      </c>
      <c r="D56" s="200" t="b">
        <v>0</v>
      </c>
      <c r="E56" s="199">
        <f>IF(D56=TRUE,1,0)</f>
        <v>0</v>
      </c>
      <c r="F56" s="199"/>
      <c r="G56" s="199">
        <f>MAX(F56:F61)</f>
        <v>1</v>
      </c>
      <c r="H56" s="422"/>
    </row>
    <row r="57" spans="2:8" ht="38.25" customHeight="1">
      <c r="B57" s="380" t="s">
        <v>149</v>
      </c>
      <c r="C57" s="381"/>
      <c r="D57" s="200"/>
      <c r="E57" s="199"/>
      <c r="F57" s="199"/>
      <c r="G57" s="199"/>
      <c r="H57" s="422"/>
    </row>
    <row r="58" spans="2:8" ht="24" customHeight="1">
      <c r="B58" s="128"/>
      <c r="C58" s="111" t="s">
        <v>23</v>
      </c>
      <c r="D58" s="200" t="b">
        <v>0</v>
      </c>
      <c r="E58" s="199">
        <f>IF(D58=TRUE,1,0)</f>
        <v>0</v>
      </c>
      <c r="F58" s="199">
        <f>IF(SUM(E58:E59)=0,1,IF(SUM(E58:E59)=1,2,IF(SUM(E58:E59)=2,3,0)))</f>
        <v>1</v>
      </c>
      <c r="G58" s="199"/>
      <c r="H58" s="422"/>
    </row>
    <row r="59" spans="2:8" ht="24" customHeight="1">
      <c r="B59" s="128"/>
      <c r="C59" s="111" t="s">
        <v>24</v>
      </c>
      <c r="D59" s="200" t="b">
        <v>0</v>
      </c>
      <c r="E59" s="199">
        <f>IF(D59=TRUE,1,0)</f>
        <v>0</v>
      </c>
      <c r="F59" s="199"/>
      <c r="G59" s="200"/>
      <c r="H59" s="422"/>
    </row>
    <row r="60" spans="2:8" ht="24" customHeight="1">
      <c r="B60" s="380" t="s">
        <v>242</v>
      </c>
      <c r="C60" s="381"/>
      <c r="D60" s="200"/>
      <c r="E60" s="199"/>
      <c r="F60" s="199"/>
      <c r="G60" s="200"/>
      <c r="H60" s="422"/>
    </row>
    <row r="61" spans="2:8" ht="24" customHeight="1">
      <c r="B61" s="131"/>
      <c r="C61" s="111" t="s">
        <v>25</v>
      </c>
      <c r="D61" s="200" t="b">
        <v>0</v>
      </c>
      <c r="E61" s="199"/>
      <c r="F61" s="199">
        <f>IF(D61=TRUE,1,0)</f>
        <v>0</v>
      </c>
      <c r="G61" s="199"/>
      <c r="H61" s="422"/>
    </row>
    <row r="62" spans="1:8" ht="18" customHeight="1">
      <c r="A62" s="5"/>
      <c r="B62" s="376" t="s">
        <v>83</v>
      </c>
      <c r="C62" s="419"/>
      <c r="D62" s="114"/>
      <c r="E62" s="114"/>
      <c r="F62" s="114"/>
      <c r="G62" s="114"/>
      <c r="H62" s="123"/>
    </row>
    <row r="63" spans="1:8" ht="23.25" customHeight="1">
      <c r="A63" s="5"/>
      <c r="B63" s="380" t="s">
        <v>150</v>
      </c>
      <c r="C63" s="381"/>
      <c r="D63" s="117"/>
      <c r="E63" s="117"/>
      <c r="F63" s="117"/>
      <c r="G63" s="117"/>
      <c r="H63" s="322"/>
    </row>
    <row r="64" spans="1:8" ht="24" customHeight="1">
      <c r="A64" s="5"/>
      <c r="B64" s="131"/>
      <c r="C64" s="111" t="s">
        <v>0</v>
      </c>
      <c r="D64" s="201" t="b">
        <v>0</v>
      </c>
      <c r="E64" s="201">
        <f aca="true" t="shared" si="2" ref="E64:E69">IF(D64=TRUE,1,0)</f>
        <v>0</v>
      </c>
      <c r="F64" s="201">
        <v>0</v>
      </c>
      <c r="G64" s="201"/>
      <c r="H64" s="422">
        <f>IF(SUM(E64:E69)&gt;1,"Please check only one answer in this category.",MAX(F64:F69))</f>
        <v>0</v>
      </c>
    </row>
    <row r="65" spans="1:8" ht="24" customHeight="1">
      <c r="A65" s="5"/>
      <c r="B65" s="132"/>
      <c r="C65" s="111" t="s">
        <v>1</v>
      </c>
      <c r="D65" s="201" t="b">
        <v>0</v>
      </c>
      <c r="E65" s="201">
        <f t="shared" si="2"/>
        <v>0</v>
      </c>
      <c r="F65" s="201">
        <f>IF(D65=TRUE,2,0)</f>
        <v>0</v>
      </c>
      <c r="G65" s="201"/>
      <c r="H65" s="431"/>
    </row>
    <row r="66" spans="1:8" ht="24" customHeight="1">
      <c r="A66" s="5"/>
      <c r="B66" s="133"/>
      <c r="C66" s="111" t="s">
        <v>2</v>
      </c>
      <c r="D66" s="201" t="b">
        <v>0</v>
      </c>
      <c r="E66" s="201">
        <f t="shared" si="2"/>
        <v>0</v>
      </c>
      <c r="F66" s="201">
        <f>IF(D66=TRUE,4,0)</f>
        <v>0</v>
      </c>
      <c r="G66" s="201"/>
      <c r="H66" s="431"/>
    </row>
    <row r="67" spans="1:8" ht="24" customHeight="1">
      <c r="A67" s="5"/>
      <c r="B67" s="133"/>
      <c r="C67" s="111" t="s">
        <v>3</v>
      </c>
      <c r="D67" s="201" t="b">
        <v>0</v>
      </c>
      <c r="E67" s="201">
        <f t="shared" si="2"/>
        <v>0</v>
      </c>
      <c r="F67" s="201">
        <f>IF(D67=TRUE,6,0)</f>
        <v>0</v>
      </c>
      <c r="G67" s="201"/>
      <c r="H67" s="431"/>
    </row>
    <row r="68" spans="1:8" ht="24" customHeight="1">
      <c r="A68" s="5"/>
      <c r="B68" s="133"/>
      <c r="C68" s="111" t="s">
        <v>8</v>
      </c>
      <c r="D68" s="201" t="b">
        <v>0</v>
      </c>
      <c r="E68" s="201">
        <f t="shared" si="2"/>
        <v>0</v>
      </c>
      <c r="F68" s="201">
        <f>IF(D68=TRUE,8,0)</f>
        <v>0</v>
      </c>
      <c r="G68" s="201"/>
      <c r="H68" s="431"/>
    </row>
    <row r="69" spans="1:8" ht="24" customHeight="1">
      <c r="A69" s="5"/>
      <c r="B69" s="133"/>
      <c r="C69" s="111" t="s">
        <v>9</v>
      </c>
      <c r="D69" s="201" t="b">
        <v>0</v>
      </c>
      <c r="E69" s="201">
        <f t="shared" si="2"/>
        <v>0</v>
      </c>
      <c r="F69" s="201">
        <f>IF(D69=TRUE,10,0)</f>
        <v>0</v>
      </c>
      <c r="G69" s="201"/>
      <c r="H69" s="431"/>
    </row>
    <row r="70" spans="1:8" ht="15" customHeight="1">
      <c r="A70" s="5"/>
      <c r="B70" s="376" t="s">
        <v>438</v>
      </c>
      <c r="C70" s="419"/>
      <c r="D70" s="114"/>
      <c r="E70" s="114"/>
      <c r="F70" s="114"/>
      <c r="G70" s="114"/>
      <c r="H70" s="123"/>
    </row>
    <row r="71" spans="1:9" ht="24" customHeight="1" thickBot="1">
      <c r="A71" s="5"/>
      <c r="B71" s="350"/>
      <c r="C71" s="352" t="s">
        <v>439</v>
      </c>
      <c r="D71" s="201" t="b">
        <v>0</v>
      </c>
      <c r="E71" s="201"/>
      <c r="F71" s="201"/>
      <c r="G71" s="201"/>
      <c r="H71" s="316">
        <f>IF(D71=TRUE,70,0)</f>
        <v>0</v>
      </c>
      <c r="I71" s="7"/>
    </row>
    <row r="72" spans="2:8" ht="28.5" customHeight="1" thickBot="1">
      <c r="B72" s="429" t="s">
        <v>346</v>
      </c>
      <c r="C72" s="430"/>
      <c r="D72" s="134"/>
      <c r="E72" s="134"/>
      <c r="F72" s="134"/>
      <c r="G72" s="134"/>
      <c r="H72" s="351">
        <f>SUM(H4:H71)</f>
        <v>0</v>
      </c>
    </row>
    <row r="81" ht="13.5">
      <c r="C81" s="234"/>
    </row>
  </sheetData>
  <sheetProtection password="F03D" sheet="1" objects="1" scenarios="1"/>
  <mergeCells count="38">
    <mergeCell ref="B36:C36"/>
    <mergeCell ref="B44:C44"/>
    <mergeCell ref="B52:C52"/>
    <mergeCell ref="B62:C62"/>
    <mergeCell ref="B25:C25"/>
    <mergeCell ref="B47:C47"/>
    <mergeCell ref="B50:C50"/>
    <mergeCell ref="B57:C57"/>
    <mergeCell ref="B11:C11"/>
    <mergeCell ref="B39:C39"/>
    <mergeCell ref="B3:C3"/>
    <mergeCell ref="B8:C8"/>
    <mergeCell ref="B18:C18"/>
    <mergeCell ref="B5:C5"/>
    <mergeCell ref="B9:C9"/>
    <mergeCell ref="B32:C32"/>
    <mergeCell ref="B21:C21"/>
    <mergeCell ref="B24:C24"/>
    <mergeCell ref="H45:H51"/>
    <mergeCell ref="B2:C2"/>
    <mergeCell ref="H10:H17"/>
    <mergeCell ref="B19:C19"/>
    <mergeCell ref="B22:C22"/>
    <mergeCell ref="B72:C72"/>
    <mergeCell ref="B63:C63"/>
    <mergeCell ref="H64:H69"/>
    <mergeCell ref="B6:C6"/>
    <mergeCell ref="B27:C27"/>
    <mergeCell ref="B70:C70"/>
    <mergeCell ref="H26:H35"/>
    <mergeCell ref="B37:C37"/>
    <mergeCell ref="B53:C53"/>
    <mergeCell ref="H53:H61"/>
    <mergeCell ref="B55:C55"/>
    <mergeCell ref="B60:C60"/>
    <mergeCell ref="B42:C42"/>
    <mergeCell ref="H37:H43"/>
    <mergeCell ref="B45:C45"/>
  </mergeCells>
  <printOptions/>
  <pageMargins left="0.7" right="0.7" top="0.75" bottom="0.75" header="0.3" footer="0.3"/>
  <pageSetup fitToHeight="2" fitToWidth="1" horizontalDpi="600" verticalDpi="600" orientation="portrait" scale="70"/>
  <headerFooter alignWithMargins="0">
    <oddHeader>&amp;R11/15/2012</oddHeader>
  </headerFooter>
  <rowBreaks count="2" manualBreakCount="2">
    <brk id="23" min="1" max="7" man="1"/>
    <brk id="51" min="1" max="7" man="1"/>
  </rowBreaks>
  <ignoredErrors>
    <ignoredError sqref="H45 H53" emptyCellReference="1"/>
  </ignoredErrors>
  <drawing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H38"/>
  <sheetViews>
    <sheetView zoomScaleSheetLayoutView="100" workbookViewId="0" topLeftCell="A1">
      <selection activeCell="J20" sqref="J20"/>
    </sheetView>
  </sheetViews>
  <sheetFormatPr defaultColWidth="11.57421875" defaultRowHeight="15"/>
  <cols>
    <col min="1" max="1" width="16.140625" style="242" customWidth="1"/>
    <col min="2" max="2" width="89.140625" style="205" customWidth="1"/>
    <col min="3" max="3" width="17.421875" style="209" customWidth="1"/>
    <col min="4" max="16384" width="11.421875" style="8" customWidth="1"/>
  </cols>
  <sheetData>
    <row r="1" spans="1:3" s="107" customFormat="1" ht="24.75" customHeight="1">
      <c r="A1" s="341" t="s">
        <v>347</v>
      </c>
      <c r="B1" s="340" t="s">
        <v>348</v>
      </c>
      <c r="C1" s="227" t="s">
        <v>349</v>
      </c>
    </row>
    <row r="2" spans="1:3" s="107" customFormat="1" ht="30">
      <c r="A2" s="342" t="s">
        <v>59</v>
      </c>
      <c r="B2" s="210" t="s">
        <v>180</v>
      </c>
      <c r="C2" s="208"/>
    </row>
    <row r="3" spans="1:3" ht="60">
      <c r="A3" s="342" t="s">
        <v>60</v>
      </c>
      <c r="B3" s="210" t="s">
        <v>447</v>
      </c>
      <c r="C3" s="208" t="s">
        <v>62</v>
      </c>
    </row>
    <row r="4" spans="1:3" ht="55.5">
      <c r="A4" s="342" t="s">
        <v>11</v>
      </c>
      <c r="B4" s="210" t="s">
        <v>371</v>
      </c>
      <c r="C4" s="208" t="s">
        <v>63</v>
      </c>
    </row>
    <row r="5" spans="1:8" ht="55.5">
      <c r="A5" s="342" t="s">
        <v>46</v>
      </c>
      <c r="B5" s="210" t="s">
        <v>367</v>
      </c>
      <c r="C5" s="208"/>
      <c r="H5" s="9"/>
    </row>
    <row r="6" spans="1:3" ht="111.75">
      <c r="A6" s="342" t="s">
        <v>48</v>
      </c>
      <c r="B6" s="210" t="s">
        <v>137</v>
      </c>
      <c r="C6" s="208" t="s">
        <v>374</v>
      </c>
    </row>
    <row r="7" spans="1:3" ht="84">
      <c r="A7" s="342" t="s">
        <v>47</v>
      </c>
      <c r="B7" s="210" t="s">
        <v>52</v>
      </c>
      <c r="C7" s="208" t="s">
        <v>373</v>
      </c>
    </row>
    <row r="8" spans="1:3" ht="24">
      <c r="A8" s="342" t="s">
        <v>414</v>
      </c>
      <c r="B8" s="210" t="s">
        <v>129</v>
      </c>
      <c r="C8" s="208" t="s">
        <v>130</v>
      </c>
    </row>
    <row r="9" spans="1:3" ht="57.75" customHeight="1">
      <c r="A9" s="342" t="s">
        <v>49</v>
      </c>
      <c r="B9" s="210" t="s">
        <v>328</v>
      </c>
      <c r="C9" s="208" t="s">
        <v>415</v>
      </c>
    </row>
    <row r="10" spans="1:3" ht="69.75">
      <c r="A10" s="342" t="s">
        <v>336</v>
      </c>
      <c r="B10" s="210" t="s">
        <v>308</v>
      </c>
      <c r="C10" s="208" t="s">
        <v>372</v>
      </c>
    </row>
    <row r="11" spans="1:3" ht="111.75">
      <c r="A11" s="342" t="s">
        <v>339</v>
      </c>
      <c r="B11" s="210" t="s">
        <v>448</v>
      </c>
      <c r="C11" s="208" t="s">
        <v>322</v>
      </c>
    </row>
    <row r="12" spans="1:3" ht="58.5" customHeight="1">
      <c r="A12" s="343" t="s">
        <v>41</v>
      </c>
      <c r="B12" s="238" t="s">
        <v>27</v>
      </c>
      <c r="C12" s="325" t="s">
        <v>42</v>
      </c>
    </row>
    <row r="13" spans="1:3" ht="60">
      <c r="A13" s="342" t="s">
        <v>324</v>
      </c>
      <c r="B13" s="326" t="s">
        <v>311</v>
      </c>
      <c r="C13" s="208" t="s">
        <v>372</v>
      </c>
    </row>
    <row r="14" spans="1:3" ht="84">
      <c r="A14" s="342" t="s">
        <v>416</v>
      </c>
      <c r="B14" s="210" t="s">
        <v>334</v>
      </c>
      <c r="C14" s="208" t="s">
        <v>372</v>
      </c>
    </row>
    <row r="15" spans="1:3" ht="60">
      <c r="A15" s="342" t="s">
        <v>335</v>
      </c>
      <c r="B15" s="210" t="s">
        <v>126</v>
      </c>
      <c r="C15" s="208" t="s">
        <v>372</v>
      </c>
    </row>
    <row r="16" spans="1:3" ht="111.75">
      <c r="A16" s="342" t="s">
        <v>51</v>
      </c>
      <c r="B16" s="210" t="s">
        <v>457</v>
      </c>
      <c r="C16" s="208" t="s">
        <v>373</v>
      </c>
    </row>
    <row r="17" spans="1:3" ht="84">
      <c r="A17" s="342" t="s">
        <v>323</v>
      </c>
      <c r="B17" s="210" t="s">
        <v>417</v>
      </c>
      <c r="C17" s="208"/>
    </row>
    <row r="18" spans="1:3" ht="36">
      <c r="A18" s="342" t="s">
        <v>50</v>
      </c>
      <c r="B18" s="237" t="s">
        <v>421</v>
      </c>
      <c r="C18" s="208" t="s">
        <v>326</v>
      </c>
    </row>
    <row r="19" spans="1:3" ht="42">
      <c r="A19" s="342" t="s">
        <v>458</v>
      </c>
      <c r="B19" s="210" t="s">
        <v>110</v>
      </c>
      <c r="C19" s="208"/>
    </row>
    <row r="20" spans="1:3" ht="36">
      <c r="A20" s="342" t="s">
        <v>449</v>
      </c>
      <c r="B20" s="210" t="s">
        <v>375</v>
      </c>
      <c r="C20" s="208" t="s">
        <v>333</v>
      </c>
    </row>
    <row r="21" spans="1:3" ht="30">
      <c r="A21" s="342" t="s">
        <v>95</v>
      </c>
      <c r="B21" s="210" t="s">
        <v>309</v>
      </c>
      <c r="C21" s="208"/>
    </row>
    <row r="22" spans="1:3" ht="69.75">
      <c r="A22" s="342" t="s">
        <v>72</v>
      </c>
      <c r="B22" s="237" t="s">
        <v>26</v>
      </c>
      <c r="C22" s="208"/>
    </row>
    <row r="23" spans="1:3" ht="27.75">
      <c r="A23" s="342" t="s">
        <v>94</v>
      </c>
      <c r="B23" s="210" t="s">
        <v>352</v>
      </c>
      <c r="C23" s="208"/>
    </row>
    <row r="24" spans="1:3" ht="30">
      <c r="A24" s="342" t="s">
        <v>117</v>
      </c>
      <c r="B24" s="210" t="s">
        <v>310</v>
      </c>
      <c r="C24" s="208"/>
    </row>
    <row r="25" spans="1:3" ht="42">
      <c r="A25" s="342" t="s">
        <v>454</v>
      </c>
      <c r="B25" s="210" t="s">
        <v>325</v>
      </c>
      <c r="C25" s="208" t="s">
        <v>326</v>
      </c>
    </row>
    <row r="26" spans="1:3" ht="42">
      <c r="A26" s="342" t="s">
        <v>427</v>
      </c>
      <c r="B26" s="210" t="s">
        <v>337</v>
      </c>
      <c r="C26" s="208" t="s">
        <v>338</v>
      </c>
    </row>
    <row r="27" spans="1:3" ht="27.75">
      <c r="A27" s="343" t="s">
        <v>115</v>
      </c>
      <c r="B27" s="210" t="s">
        <v>116</v>
      </c>
      <c r="C27" s="208"/>
    </row>
    <row r="28" spans="1:3" ht="85.5" customHeight="1">
      <c r="A28" s="342" t="s">
        <v>114</v>
      </c>
      <c r="B28" s="327" t="s">
        <v>376</v>
      </c>
      <c r="C28" s="208"/>
    </row>
    <row r="29" spans="1:3" ht="27.75">
      <c r="A29" s="342" t="s">
        <v>113</v>
      </c>
      <c r="B29" s="327" t="s">
        <v>353</v>
      </c>
      <c r="C29" s="208"/>
    </row>
    <row r="30" spans="1:3" ht="36">
      <c r="A30" s="342" t="s">
        <v>122</v>
      </c>
      <c r="B30" s="327" t="s">
        <v>120</v>
      </c>
      <c r="C30" s="208" t="s">
        <v>123</v>
      </c>
    </row>
    <row r="31" spans="1:3" ht="45">
      <c r="A31" s="342" t="s">
        <v>112</v>
      </c>
      <c r="B31" s="327" t="s">
        <v>332</v>
      </c>
      <c r="C31" s="208"/>
    </row>
    <row r="32" spans="1:3" ht="15">
      <c r="A32" s="343" t="s">
        <v>109</v>
      </c>
      <c r="B32" s="327" t="s">
        <v>111</v>
      </c>
      <c r="C32" s="208"/>
    </row>
    <row r="33" spans="1:3" ht="195.75">
      <c r="A33" s="342" t="s">
        <v>455</v>
      </c>
      <c r="B33" s="210" t="s">
        <v>303</v>
      </c>
      <c r="C33" s="208" t="s">
        <v>418</v>
      </c>
    </row>
    <row r="34" spans="1:8" ht="15">
      <c r="A34" s="342" t="s">
        <v>450</v>
      </c>
      <c r="B34" s="210" t="s">
        <v>419</v>
      </c>
      <c r="C34" s="208"/>
      <c r="H34" s="9"/>
    </row>
    <row r="35" spans="1:8" ht="181.5">
      <c r="A35" s="342" t="s">
        <v>456</v>
      </c>
      <c r="B35" s="210" t="s">
        <v>459</v>
      </c>
      <c r="C35" s="208" t="s">
        <v>74</v>
      </c>
      <c r="H35" s="9"/>
    </row>
    <row r="36" spans="1:8" ht="36">
      <c r="A36" s="342" t="s">
        <v>451</v>
      </c>
      <c r="B36" s="205" t="s">
        <v>331</v>
      </c>
      <c r="C36" s="208" t="s">
        <v>322</v>
      </c>
      <c r="H36" s="9"/>
    </row>
    <row r="37" spans="1:3" ht="84">
      <c r="A37" s="342" t="s">
        <v>452</v>
      </c>
      <c r="B37" s="210" t="s">
        <v>420</v>
      </c>
      <c r="C37" s="208" t="s">
        <v>121</v>
      </c>
    </row>
    <row r="38" spans="1:3" ht="55.5">
      <c r="A38" s="342" t="s">
        <v>453</v>
      </c>
      <c r="B38" s="210" t="s">
        <v>277</v>
      </c>
      <c r="C38" s="208" t="s">
        <v>278</v>
      </c>
    </row>
  </sheetData>
  <sheetProtection password="F03D" sheet="1" objects="1" scenarios="1"/>
  <printOptions/>
  <pageMargins left="0.45" right="0.45" top="0.5" bottom="0.5" header="0.3" footer="0.3"/>
  <pageSetup fitToHeight="3" fitToWidth="1" horizontalDpi="600" verticalDpi="600" orientation="portrait" scale="74"/>
  <headerFooter alignWithMargins="0">
    <oddHeader>&amp;R11/15/2012</oddHeader>
  </headerFooter>
  <rowBreaks count="1" manualBreakCount="1">
    <brk id="33" max="2"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Z111"/>
  <sheetViews>
    <sheetView zoomScale="125" zoomScaleNormal="125" zoomScaleSheetLayoutView="79" workbookViewId="0" topLeftCell="A1">
      <selection activeCell="J20" sqref="J20"/>
    </sheetView>
  </sheetViews>
  <sheetFormatPr defaultColWidth="8.8515625" defaultRowHeight="15"/>
  <cols>
    <col min="1" max="1" width="3.421875" style="39" customWidth="1"/>
    <col min="2" max="2" width="20.8515625" style="39" customWidth="1"/>
    <col min="3" max="3" width="12.421875" style="39" hidden="1" customWidth="1"/>
    <col min="4" max="4" width="12.28125" style="39" hidden="1" customWidth="1"/>
    <col min="5" max="5" width="14.00390625" style="39" customWidth="1"/>
    <col min="6" max="6" width="4.7109375" style="39" customWidth="1"/>
    <col min="7" max="7" width="10.421875" style="39" customWidth="1"/>
    <col min="8" max="8" width="12.140625" style="39" customWidth="1"/>
    <col min="9" max="9" width="20.421875" style="39" customWidth="1"/>
    <col min="10" max="10" width="1.8515625" style="328" customWidth="1"/>
    <col min="11" max="11" width="4.421875" style="39" hidden="1" customWidth="1"/>
    <col min="12" max="12" width="29.8515625" style="39" hidden="1" customWidth="1"/>
    <col min="13" max="13" width="14.00390625" style="39" hidden="1" customWidth="1"/>
    <col min="14" max="14" width="1.7109375" style="39" hidden="1" customWidth="1"/>
    <col min="15" max="15" width="0" style="39" hidden="1" customWidth="1"/>
    <col min="16" max="16" width="11.8515625" style="39" hidden="1" customWidth="1"/>
    <col min="17" max="19" width="0" style="39" hidden="1" customWidth="1"/>
    <col min="20" max="20" width="3.7109375" style="39" hidden="1" customWidth="1"/>
    <col min="21" max="21" width="16.00390625" style="39" hidden="1" customWidth="1"/>
    <col min="22" max="22" width="37.28125" style="39" hidden="1" customWidth="1"/>
    <col min="23" max="23" width="15.7109375" style="39" hidden="1" customWidth="1"/>
    <col min="24" max="24" width="88.421875" style="39" hidden="1" customWidth="1"/>
    <col min="25" max="25" width="44.00390625" style="39" hidden="1" customWidth="1"/>
    <col min="26" max="16384" width="8.8515625" style="39" customWidth="1"/>
  </cols>
  <sheetData>
    <row r="1" spans="1:9" ht="15.75">
      <c r="A1" s="38"/>
      <c r="B1" s="184" t="s">
        <v>396</v>
      </c>
      <c r="C1" s="184"/>
      <c r="D1" s="184"/>
      <c r="E1" s="185"/>
      <c r="F1" s="185"/>
      <c r="G1" s="185"/>
      <c r="H1" s="185"/>
      <c r="I1" s="185"/>
    </row>
    <row r="2" spans="1:9" ht="15.75">
      <c r="A2" s="38"/>
      <c r="B2" s="184" t="s">
        <v>279</v>
      </c>
      <c r="C2" s="184"/>
      <c r="D2" s="184"/>
      <c r="E2" s="185"/>
      <c r="F2" s="185"/>
      <c r="G2" s="185"/>
      <c r="H2" s="185"/>
      <c r="I2" s="185"/>
    </row>
    <row r="3" spans="1:9" ht="15.75">
      <c r="A3" s="40"/>
      <c r="B3" s="186" t="s">
        <v>422</v>
      </c>
      <c r="C3" s="186"/>
      <c r="D3" s="186"/>
      <c r="E3" s="187"/>
      <c r="F3" s="187"/>
      <c r="G3" s="187"/>
      <c r="H3" s="187"/>
      <c r="I3" s="187"/>
    </row>
    <row r="4" spans="1:9" ht="15.75">
      <c r="A4" s="40"/>
      <c r="B4" s="186" t="s">
        <v>423</v>
      </c>
      <c r="C4" s="186"/>
      <c r="D4" s="186"/>
      <c r="E4" s="187"/>
      <c r="F4" s="187"/>
      <c r="G4" s="187"/>
      <c r="H4" s="187"/>
      <c r="I4" s="187"/>
    </row>
    <row r="5" spans="1:9" ht="15.75">
      <c r="A5" s="40"/>
      <c r="B5" s="188" t="s">
        <v>424</v>
      </c>
      <c r="C5" s="188"/>
      <c r="D5" s="188"/>
      <c r="E5" s="189"/>
      <c r="F5" s="189"/>
      <c r="G5" s="189"/>
      <c r="H5" s="189"/>
      <c r="I5" s="189"/>
    </row>
    <row r="6" spans="1:9" ht="15.75">
      <c r="A6" s="40"/>
      <c r="B6" s="188" t="s">
        <v>397</v>
      </c>
      <c r="C6" s="188"/>
      <c r="D6" s="188"/>
      <c r="E6" s="189"/>
      <c r="F6" s="189"/>
      <c r="G6" s="189"/>
      <c r="H6" s="189"/>
      <c r="I6" s="189"/>
    </row>
    <row r="7" spans="1:9" ht="15.75">
      <c r="A7" s="40"/>
      <c r="B7" s="188" t="s">
        <v>398</v>
      </c>
      <c r="C7" s="188"/>
      <c r="D7" s="188"/>
      <c r="E7" s="189"/>
      <c r="F7" s="189"/>
      <c r="G7" s="189"/>
      <c r="H7" s="189"/>
      <c r="I7" s="189"/>
    </row>
    <row r="8" spans="1:9" ht="15.75">
      <c r="A8" s="40"/>
      <c r="B8" s="188" t="s">
        <v>379</v>
      </c>
      <c r="C8" s="188"/>
      <c r="D8" s="188"/>
      <c r="E8" s="189"/>
      <c r="F8" s="189"/>
      <c r="G8" s="189"/>
      <c r="H8" s="189"/>
      <c r="I8" s="189"/>
    </row>
    <row r="9" spans="1:9" ht="15.75">
      <c r="A9" s="40"/>
      <c r="B9" s="188" t="s">
        <v>399</v>
      </c>
      <c r="C9" s="188"/>
      <c r="D9" s="188"/>
      <c r="E9" s="189"/>
      <c r="F9" s="189"/>
      <c r="G9" s="189"/>
      <c r="H9" s="189"/>
      <c r="I9" s="189"/>
    </row>
    <row r="10" spans="1:9" ht="15.75">
      <c r="A10" s="40"/>
      <c r="B10" s="188" t="s">
        <v>380</v>
      </c>
      <c r="C10" s="188"/>
      <c r="D10" s="188"/>
      <c r="E10" s="189"/>
      <c r="F10" s="189"/>
      <c r="G10" s="189"/>
      <c r="H10" s="189"/>
      <c r="I10" s="189"/>
    </row>
    <row r="11" spans="1:9" ht="15.75">
      <c r="A11" s="40"/>
      <c r="B11" s="188" t="s">
        <v>229</v>
      </c>
      <c r="C11" s="188"/>
      <c r="D11" s="188"/>
      <c r="E11" s="189"/>
      <c r="F11" s="189"/>
      <c r="G11" s="189"/>
      <c r="H11" s="189"/>
      <c r="I11" s="189"/>
    </row>
    <row r="12" spans="1:9" ht="16.5" thickBot="1">
      <c r="A12" s="43"/>
      <c r="B12" s="190" t="s">
        <v>402</v>
      </c>
      <c r="C12" s="190"/>
      <c r="D12" s="190"/>
      <c r="E12" s="191"/>
      <c r="F12" s="192"/>
      <c r="G12" s="189"/>
      <c r="H12" s="189"/>
      <c r="I12" s="189"/>
    </row>
    <row r="13" spans="1:26" ht="15">
      <c r="A13" s="43"/>
      <c r="B13" s="41"/>
      <c r="C13" s="41"/>
      <c r="D13" s="41"/>
      <c r="E13" s="44"/>
      <c r="F13" s="41"/>
      <c r="G13" s="41"/>
      <c r="H13" s="41"/>
      <c r="I13" s="41"/>
      <c r="K13" s="45" t="s">
        <v>280</v>
      </c>
      <c r="L13" s="146"/>
      <c r="M13" s="146"/>
      <c r="N13" s="146"/>
      <c r="O13" s="146"/>
      <c r="P13" s="146"/>
      <c r="Q13" s="147"/>
      <c r="R13" s="147"/>
      <c r="S13" s="148"/>
      <c r="T13" s="42"/>
      <c r="U13" s="42"/>
      <c r="V13" s="149" t="s">
        <v>290</v>
      </c>
      <c r="W13" s="150"/>
      <c r="X13" s="150"/>
      <c r="Y13" s="151"/>
      <c r="Z13" s="49"/>
    </row>
    <row r="14" spans="1:26" ht="18.75" thickBot="1">
      <c r="A14" s="43"/>
      <c r="B14" s="46" t="s">
        <v>281</v>
      </c>
      <c r="C14" s="46"/>
      <c r="D14" s="46"/>
      <c r="E14" s="47"/>
      <c r="F14" s="47"/>
      <c r="G14" s="47"/>
      <c r="H14" s="47"/>
      <c r="I14" s="47"/>
      <c r="K14" s="11"/>
      <c r="L14" s="152"/>
      <c r="M14" s="152"/>
      <c r="N14" s="153"/>
      <c r="O14" s="152"/>
      <c r="P14" s="152"/>
      <c r="Q14" s="154"/>
      <c r="R14" s="154"/>
      <c r="S14" s="155"/>
      <c r="T14" s="42"/>
      <c r="U14" s="42"/>
      <c r="V14" s="50" t="s">
        <v>244</v>
      </c>
      <c r="W14" s="156"/>
      <c r="X14" s="156"/>
      <c r="Y14" s="157"/>
      <c r="Z14" s="49"/>
    </row>
    <row r="15" spans="1:25" s="49" customFormat="1" ht="409.5" thickBot="1">
      <c r="A15" s="48"/>
      <c r="B15" s="246" t="s">
        <v>401</v>
      </c>
      <c r="C15" s="252" t="s">
        <v>384</v>
      </c>
      <c r="D15" s="253" t="s">
        <v>385</v>
      </c>
      <c r="E15" s="265" t="s">
        <v>395</v>
      </c>
      <c r="F15" s="249" t="s">
        <v>282</v>
      </c>
      <c r="G15" s="12" t="s">
        <v>283</v>
      </c>
      <c r="H15" s="12" t="s">
        <v>284</v>
      </c>
      <c r="I15" s="12" t="s">
        <v>285</v>
      </c>
      <c r="J15" s="329"/>
      <c r="K15" s="13"/>
      <c r="L15" s="158" t="s">
        <v>286</v>
      </c>
      <c r="M15" s="159" t="s">
        <v>381</v>
      </c>
      <c r="N15" s="19"/>
      <c r="O15" s="160" t="s">
        <v>350</v>
      </c>
      <c r="P15" s="160" t="s">
        <v>289</v>
      </c>
      <c r="Q15" s="19"/>
      <c r="R15" s="19"/>
      <c r="S15" s="161"/>
      <c r="T15" s="162"/>
      <c r="U15" s="162"/>
      <c r="V15" s="51" t="s">
        <v>247</v>
      </c>
      <c r="W15" s="163"/>
      <c r="X15" s="163"/>
      <c r="Y15" s="164"/>
    </row>
    <row r="16" spans="1:25" s="49" customFormat="1" ht="17.25" thickBot="1">
      <c r="A16" s="48"/>
      <c r="B16" s="247" t="s">
        <v>400</v>
      </c>
      <c r="C16" s="255">
        <v>3000</v>
      </c>
      <c r="D16" s="257">
        <v>3122</v>
      </c>
      <c r="E16" s="266">
        <v>6000</v>
      </c>
      <c r="F16" s="254" t="s">
        <v>386</v>
      </c>
      <c r="G16" s="259">
        <f aca="true" t="shared" si="0" ref="G16:G27">IF(E16&lt;=M16,E16/M16*L16,IF(E16&lt;=4*M16,L16+(E16/M16-1)*L16*O16,IF(E16&gt;4*M16,L16+3*L16*O16+(E16/M16-4)*L16*P16,"error")))</f>
        <v>5774.8675</v>
      </c>
      <c r="H16" s="248"/>
      <c r="I16" s="261">
        <f>IF(H16&gt;0,H16,G16)</f>
        <v>5774.8675</v>
      </c>
      <c r="J16" s="329"/>
      <c r="K16" s="13"/>
      <c r="L16" s="268">
        <v>3121.55</v>
      </c>
      <c r="M16" s="269">
        <v>3000</v>
      </c>
      <c r="N16" s="19"/>
      <c r="O16" s="165">
        <v>0.85</v>
      </c>
      <c r="P16" s="165">
        <v>0.8</v>
      </c>
      <c r="Q16" s="166"/>
      <c r="R16" s="19"/>
      <c r="S16" s="161"/>
      <c r="T16" s="162"/>
      <c r="U16" s="162"/>
      <c r="V16" s="52" t="s">
        <v>293</v>
      </c>
      <c r="W16" s="53" t="e">
        <f>+#REF!</f>
        <v>#REF!</v>
      </c>
      <c r="X16" s="54" t="s">
        <v>252</v>
      </c>
      <c r="Y16" s="164"/>
    </row>
    <row r="17" spans="1:25" s="49" customFormat="1" ht="26.25" thickBot="1">
      <c r="A17" s="48"/>
      <c r="B17" s="14" t="s">
        <v>245</v>
      </c>
      <c r="C17" s="256" t="s">
        <v>387</v>
      </c>
      <c r="D17" s="258">
        <v>0</v>
      </c>
      <c r="E17" s="267">
        <v>0</v>
      </c>
      <c r="F17" s="250" t="s">
        <v>246</v>
      </c>
      <c r="G17" s="260">
        <f t="shared" si="0"/>
        <v>0</v>
      </c>
      <c r="H17" s="206"/>
      <c r="I17" s="262">
        <f aca="true" t="shared" si="1" ref="I17:I27">IF(H17&gt;0,H17,G17)</f>
        <v>0</v>
      </c>
      <c r="J17" s="329"/>
      <c r="K17" s="13"/>
      <c r="L17" s="167">
        <v>0</v>
      </c>
      <c r="M17" s="168">
        <v>1</v>
      </c>
      <c r="N17" s="19"/>
      <c r="O17" s="165">
        <v>0.85</v>
      </c>
      <c r="P17" s="165">
        <v>0.8</v>
      </c>
      <c r="Q17" s="166"/>
      <c r="R17" s="19"/>
      <c r="S17" s="161"/>
      <c r="T17" s="162"/>
      <c r="U17" s="162"/>
      <c r="V17" s="55" t="s">
        <v>255</v>
      </c>
      <c r="W17" s="53" t="e">
        <f>+#REF!-#REF!</f>
        <v>#REF!</v>
      </c>
      <c r="X17" s="54" t="s">
        <v>256</v>
      </c>
      <c r="Y17" s="164"/>
    </row>
    <row r="18" spans="1:25" s="49" customFormat="1" ht="17.25" thickBot="1">
      <c r="A18" s="48"/>
      <c r="B18" s="14" t="s">
        <v>393</v>
      </c>
      <c r="C18" s="256">
        <v>1489</v>
      </c>
      <c r="D18" s="258">
        <v>1457</v>
      </c>
      <c r="E18" s="267">
        <v>567.05</v>
      </c>
      <c r="F18" s="251" t="s">
        <v>386</v>
      </c>
      <c r="G18" s="260">
        <f t="shared" si="0"/>
        <v>554.89</v>
      </c>
      <c r="H18" s="206"/>
      <c r="I18" s="262">
        <f t="shared" si="1"/>
        <v>554.89</v>
      </c>
      <c r="J18" s="329"/>
      <c r="K18" s="13"/>
      <c r="L18" s="167">
        <v>554.89</v>
      </c>
      <c r="M18" s="168">
        <v>567.05</v>
      </c>
      <c r="N18" s="19"/>
      <c r="O18" s="165">
        <v>0.85</v>
      </c>
      <c r="P18" s="165">
        <v>0.8</v>
      </c>
      <c r="Q18" s="166"/>
      <c r="R18" s="19"/>
      <c r="S18" s="161"/>
      <c r="T18" s="162"/>
      <c r="U18" s="162"/>
      <c r="V18" s="55" t="s">
        <v>257</v>
      </c>
      <c r="W18" s="15">
        <v>70</v>
      </c>
      <c r="X18" s="54" t="s">
        <v>258</v>
      </c>
      <c r="Y18" s="164"/>
    </row>
    <row r="19" spans="1:25" s="49" customFormat="1" ht="17.25" thickBot="1">
      <c r="A19" s="48"/>
      <c r="B19" s="14" t="s">
        <v>253</v>
      </c>
      <c r="C19" s="256" t="s">
        <v>388</v>
      </c>
      <c r="D19" s="258">
        <v>7</v>
      </c>
      <c r="E19" s="267">
        <v>100</v>
      </c>
      <c r="F19" s="251" t="s">
        <v>382</v>
      </c>
      <c r="G19" s="260">
        <f t="shared" si="0"/>
        <v>6.4</v>
      </c>
      <c r="H19" s="206"/>
      <c r="I19" s="262">
        <f t="shared" si="1"/>
        <v>6.4</v>
      </c>
      <c r="J19" s="329"/>
      <c r="K19" s="13"/>
      <c r="L19" s="167">
        <v>6.4</v>
      </c>
      <c r="M19" s="168">
        <v>100</v>
      </c>
      <c r="N19" s="19"/>
      <c r="O19" s="165">
        <v>0.85</v>
      </c>
      <c r="P19" s="165">
        <v>0.8</v>
      </c>
      <c r="Q19" s="166"/>
      <c r="R19" s="19"/>
      <c r="S19" s="161"/>
      <c r="T19" s="162"/>
      <c r="U19" s="162"/>
      <c r="V19" s="55" t="s">
        <v>259</v>
      </c>
      <c r="W19" s="16" t="e">
        <f>+#REF!</f>
        <v>#REF!</v>
      </c>
      <c r="X19" s="54" t="s">
        <v>260</v>
      </c>
      <c r="Y19" s="164"/>
    </row>
    <row r="20" spans="1:25" s="49" customFormat="1" ht="17.25" thickBot="1">
      <c r="A20" s="48"/>
      <c r="B20" s="14" t="s">
        <v>368</v>
      </c>
      <c r="C20" s="256" t="s">
        <v>389</v>
      </c>
      <c r="D20" s="258">
        <v>280</v>
      </c>
      <c r="E20" s="267">
        <v>150</v>
      </c>
      <c r="F20" s="251" t="s">
        <v>386</v>
      </c>
      <c r="G20" s="260">
        <f t="shared" si="0"/>
        <v>279.7</v>
      </c>
      <c r="H20" s="206"/>
      <c r="I20" s="262">
        <f t="shared" si="1"/>
        <v>279.7</v>
      </c>
      <c r="J20" s="329"/>
      <c r="K20" s="13"/>
      <c r="L20" s="167">
        <v>279.7</v>
      </c>
      <c r="M20" s="168">
        <v>150</v>
      </c>
      <c r="N20" s="19"/>
      <c r="O20" s="165">
        <v>0.85</v>
      </c>
      <c r="P20" s="165">
        <v>0.8</v>
      </c>
      <c r="Q20" s="166"/>
      <c r="R20" s="19"/>
      <c r="S20" s="161"/>
      <c r="T20" s="162"/>
      <c r="U20" s="162"/>
      <c r="V20" s="55" t="s">
        <v>265</v>
      </c>
      <c r="W20" s="17" t="e">
        <f>+#REF!</f>
        <v>#REF!</v>
      </c>
      <c r="X20" s="18" t="s">
        <v>263</v>
      </c>
      <c r="Y20" s="56" t="s">
        <v>264</v>
      </c>
    </row>
    <row r="21" spans="1:25" s="49" customFormat="1" ht="17.25" thickBot="1">
      <c r="A21" s="48"/>
      <c r="B21" s="14" t="s">
        <v>369</v>
      </c>
      <c r="C21" s="256">
        <v>43560</v>
      </c>
      <c r="D21" s="258">
        <v>12629</v>
      </c>
      <c r="E21" s="267">
        <v>43560</v>
      </c>
      <c r="F21" s="251" t="s">
        <v>386</v>
      </c>
      <c r="G21" s="260">
        <f t="shared" si="0"/>
        <v>12629</v>
      </c>
      <c r="H21" s="206"/>
      <c r="I21" s="262">
        <f t="shared" si="1"/>
        <v>12629</v>
      </c>
      <c r="J21" s="329"/>
      <c r="K21" s="13"/>
      <c r="L21" s="270">
        <v>12629</v>
      </c>
      <c r="M21" s="168">
        <v>43560</v>
      </c>
      <c r="N21" s="19"/>
      <c r="O21" s="165">
        <v>0.85</v>
      </c>
      <c r="P21" s="165">
        <v>0.8</v>
      </c>
      <c r="Q21" s="166"/>
      <c r="R21" s="19"/>
      <c r="S21" s="161"/>
      <c r="T21" s="162"/>
      <c r="U21" s="162"/>
      <c r="V21" s="55" t="s">
        <v>266</v>
      </c>
      <c r="W21" s="57" t="e">
        <f>+W20</f>
        <v>#REF!</v>
      </c>
      <c r="X21" s="54" t="s">
        <v>192</v>
      </c>
      <c r="Y21" s="56" t="s">
        <v>264</v>
      </c>
    </row>
    <row r="22" spans="2:25" s="49" customFormat="1" ht="17.25" thickBot="1">
      <c r="B22" s="14" t="s">
        <v>370</v>
      </c>
      <c r="C22" s="256">
        <v>54450</v>
      </c>
      <c r="D22" s="258">
        <v>16270</v>
      </c>
      <c r="E22" s="267">
        <v>54450</v>
      </c>
      <c r="F22" s="251" t="s">
        <v>386</v>
      </c>
      <c r="G22" s="260">
        <f t="shared" si="0"/>
        <v>16270.4</v>
      </c>
      <c r="H22" s="206"/>
      <c r="I22" s="262">
        <f>IF(H22&gt;0,H22,G22)</f>
        <v>16270.4</v>
      </c>
      <c r="J22" s="329"/>
      <c r="K22" s="13"/>
      <c r="L22" s="167">
        <v>16270.4</v>
      </c>
      <c r="M22" s="168">
        <v>54450</v>
      </c>
      <c r="N22" s="19"/>
      <c r="O22" s="165">
        <v>0.85</v>
      </c>
      <c r="P22" s="165">
        <v>0.8</v>
      </c>
      <c r="Q22" s="166"/>
      <c r="R22" s="19"/>
      <c r="S22" s="161"/>
      <c r="T22" s="162"/>
      <c r="U22" s="162"/>
      <c r="V22" s="55" t="s">
        <v>268</v>
      </c>
      <c r="W22" s="58">
        <v>0.15</v>
      </c>
      <c r="X22" s="54" t="s">
        <v>269</v>
      </c>
      <c r="Y22" s="56" t="s">
        <v>264</v>
      </c>
    </row>
    <row r="23" spans="2:25" s="49" customFormat="1" ht="26.25" thickBot="1">
      <c r="B23" s="14" t="s">
        <v>394</v>
      </c>
      <c r="C23" s="256">
        <v>1140</v>
      </c>
      <c r="D23" s="258">
        <v>8015</v>
      </c>
      <c r="E23" s="267">
        <v>1140</v>
      </c>
      <c r="F23" s="251" t="s">
        <v>386</v>
      </c>
      <c r="G23" s="260">
        <f t="shared" si="0"/>
        <v>8015.35</v>
      </c>
      <c r="H23" s="206"/>
      <c r="I23" s="262">
        <f t="shared" si="1"/>
        <v>8015.35</v>
      </c>
      <c r="J23" s="330"/>
      <c r="K23" s="13"/>
      <c r="L23" s="167">
        <v>8015.35</v>
      </c>
      <c r="M23" s="168">
        <v>1140</v>
      </c>
      <c r="N23" s="19"/>
      <c r="O23" s="165">
        <v>0.85</v>
      </c>
      <c r="P23" s="165">
        <v>0.8</v>
      </c>
      <c r="Q23" s="166"/>
      <c r="R23" s="19"/>
      <c r="S23" s="161"/>
      <c r="T23" s="162"/>
      <c r="U23" s="162"/>
      <c r="V23" s="55" t="s">
        <v>271</v>
      </c>
      <c r="W23" s="59">
        <f>+W22</f>
        <v>0.15</v>
      </c>
      <c r="X23" s="54" t="s">
        <v>200</v>
      </c>
      <c r="Y23" s="56" t="s">
        <v>264</v>
      </c>
    </row>
    <row r="24" spans="2:25" s="49" customFormat="1" ht="17.25" thickBot="1">
      <c r="B24" s="14" t="s">
        <v>193</v>
      </c>
      <c r="C24" s="256" t="s">
        <v>390</v>
      </c>
      <c r="D24" s="258">
        <v>810</v>
      </c>
      <c r="E24" s="267">
        <v>50</v>
      </c>
      <c r="F24" s="251" t="s">
        <v>386</v>
      </c>
      <c r="G24" s="260">
        <f t="shared" si="0"/>
        <v>810.4</v>
      </c>
      <c r="H24" s="206"/>
      <c r="I24" s="262">
        <f t="shared" si="1"/>
        <v>810.4</v>
      </c>
      <c r="J24" s="330"/>
      <c r="K24" s="13"/>
      <c r="L24" s="167">
        <v>810.4</v>
      </c>
      <c r="M24" s="168">
        <v>50</v>
      </c>
      <c r="N24" s="19"/>
      <c r="O24" s="165">
        <v>0.85</v>
      </c>
      <c r="P24" s="165">
        <v>0.8</v>
      </c>
      <c r="Q24" s="166"/>
      <c r="R24" s="19"/>
      <c r="S24" s="161"/>
      <c r="T24" s="162"/>
      <c r="U24" s="162"/>
      <c r="V24" s="55" t="s">
        <v>202</v>
      </c>
      <c r="W24" s="60">
        <v>0.5</v>
      </c>
      <c r="X24" s="54" t="s">
        <v>272</v>
      </c>
      <c r="Y24" s="164"/>
    </row>
    <row r="25" spans="2:25" s="49" customFormat="1" ht="17.25" thickBot="1">
      <c r="B25" s="14" t="s">
        <v>270</v>
      </c>
      <c r="C25" s="256" t="s">
        <v>391</v>
      </c>
      <c r="D25" s="258">
        <v>3490</v>
      </c>
      <c r="E25" s="267">
        <v>290</v>
      </c>
      <c r="F25" s="251" t="s">
        <v>386</v>
      </c>
      <c r="G25" s="260">
        <f t="shared" si="0"/>
        <v>3489.92</v>
      </c>
      <c r="H25" s="206"/>
      <c r="I25" s="262">
        <f t="shared" si="1"/>
        <v>3489.92</v>
      </c>
      <c r="J25" s="330"/>
      <c r="K25" s="13"/>
      <c r="L25" s="167">
        <v>3489.92</v>
      </c>
      <c r="M25" s="168">
        <v>290</v>
      </c>
      <c r="N25" s="19"/>
      <c r="O25" s="165">
        <v>0.85</v>
      </c>
      <c r="P25" s="165">
        <v>0.8</v>
      </c>
      <c r="Q25" s="166"/>
      <c r="R25" s="19"/>
      <c r="S25" s="161"/>
      <c r="T25" s="162"/>
      <c r="U25" s="162"/>
      <c r="V25" s="169"/>
      <c r="W25" s="163"/>
      <c r="X25" s="61"/>
      <c r="Y25" s="164"/>
    </row>
    <row r="26" spans="2:25" s="49" customFormat="1" ht="17.25" thickBot="1">
      <c r="B26" s="14" t="s">
        <v>201</v>
      </c>
      <c r="C26" s="256">
        <v>33</v>
      </c>
      <c r="D26" s="258">
        <v>1732</v>
      </c>
      <c r="E26" s="267">
        <v>33.3</v>
      </c>
      <c r="F26" s="251" t="s">
        <v>386</v>
      </c>
      <c r="G26" s="260">
        <f t="shared" si="0"/>
        <v>1731.75</v>
      </c>
      <c r="H26" s="206"/>
      <c r="I26" s="262">
        <f t="shared" si="1"/>
        <v>1731.75</v>
      </c>
      <c r="J26" s="330"/>
      <c r="K26" s="13"/>
      <c r="L26" s="167">
        <v>1731.75</v>
      </c>
      <c r="M26" s="168">
        <v>33.3</v>
      </c>
      <c r="N26" s="19"/>
      <c r="O26" s="165">
        <v>0.85</v>
      </c>
      <c r="P26" s="165">
        <v>0.8</v>
      </c>
      <c r="Q26" s="166"/>
      <c r="R26" s="19"/>
      <c r="S26" s="161"/>
      <c r="T26" s="162"/>
      <c r="U26" s="162"/>
      <c r="V26" s="55" t="s">
        <v>127</v>
      </c>
      <c r="W26" s="170" t="e">
        <f>IF(W19&lt;100,"No Rebate",IF(W19&lt;130,0.18*#REF!,IF(W19&lt;160,0.36*#REF!,IF(W19&lt;190,0.51*#REF!,IF(W19&lt;220,0.61*J25if(W19&lt;250,0.66*#REF!,IF(W19&lt;280,0.69*#REF!,0.7*#REF!)))))))</f>
        <v>#REF!</v>
      </c>
      <c r="X26" s="61"/>
      <c r="Y26" s="164"/>
    </row>
    <row r="27" spans="2:26" s="49" customFormat="1" ht="16.5" thickBot="1">
      <c r="B27" s="14" t="s">
        <v>383</v>
      </c>
      <c r="C27" s="256" t="s">
        <v>392</v>
      </c>
      <c r="D27" s="258">
        <v>193</v>
      </c>
      <c r="E27" s="267">
        <v>55</v>
      </c>
      <c r="F27" s="250" t="s">
        <v>274</v>
      </c>
      <c r="G27" s="260">
        <f t="shared" si="0"/>
        <v>193</v>
      </c>
      <c r="H27" s="206"/>
      <c r="I27" s="263">
        <f t="shared" si="1"/>
        <v>193</v>
      </c>
      <c r="J27" s="330"/>
      <c r="K27" s="13"/>
      <c r="L27" s="271">
        <v>193</v>
      </c>
      <c r="M27" s="171">
        <v>55</v>
      </c>
      <c r="N27" s="19"/>
      <c r="O27" s="165">
        <v>0.85</v>
      </c>
      <c r="P27" s="165">
        <v>0.8</v>
      </c>
      <c r="Q27" s="166"/>
      <c r="R27" s="19"/>
      <c r="S27" s="161"/>
      <c r="T27" s="162"/>
      <c r="U27" s="162"/>
      <c r="V27" s="55"/>
      <c r="W27" s="163"/>
      <c r="X27" s="61"/>
      <c r="Y27" s="164"/>
      <c r="Z27" s="39"/>
    </row>
    <row r="28" spans="2:26" s="49" customFormat="1" ht="16.5" thickBot="1">
      <c r="B28" s="62"/>
      <c r="C28" s="62"/>
      <c r="D28" s="62"/>
      <c r="E28" s="63"/>
      <c r="F28" s="63"/>
      <c r="G28" s="64"/>
      <c r="H28" s="65" t="s">
        <v>275</v>
      </c>
      <c r="I28" s="264">
        <f>SUM(I16:I27)</f>
        <v>49755.6775</v>
      </c>
      <c r="J28" s="330"/>
      <c r="K28" s="20"/>
      <c r="L28" s="19"/>
      <c r="M28" s="19"/>
      <c r="N28" s="19"/>
      <c r="O28" s="19"/>
      <c r="P28" s="19"/>
      <c r="Q28" s="19"/>
      <c r="R28" s="19"/>
      <c r="S28" s="161"/>
      <c r="T28" s="162"/>
      <c r="U28" s="162"/>
      <c r="V28" s="55"/>
      <c r="W28" s="68"/>
      <c r="X28" s="54"/>
      <c r="Y28" s="164"/>
      <c r="Z28" s="39"/>
    </row>
    <row r="29" spans="5:25" ht="15">
      <c r="E29" s="66" t="s">
        <v>276</v>
      </c>
      <c r="H29" s="67" t="s">
        <v>276</v>
      </c>
      <c r="J29" s="331"/>
      <c r="K29" s="11"/>
      <c r="L29" s="154"/>
      <c r="M29" s="154"/>
      <c r="N29" s="154"/>
      <c r="O29" s="154"/>
      <c r="P29" s="154"/>
      <c r="Q29" s="154"/>
      <c r="R29" s="154"/>
      <c r="S29" s="155"/>
      <c r="T29" s="42"/>
      <c r="U29" s="42"/>
      <c r="V29" s="55"/>
      <c r="W29" s="163"/>
      <c r="X29" s="54"/>
      <c r="Y29" s="164"/>
    </row>
    <row r="30" spans="2:25" ht="15">
      <c r="B30" s="438"/>
      <c r="C30" s="438"/>
      <c r="D30" s="438"/>
      <c r="E30" s="438"/>
      <c r="F30" s="438"/>
      <c r="G30" s="438"/>
      <c r="H30" s="438"/>
      <c r="I30" s="438"/>
      <c r="J30" s="332"/>
      <c r="K30" s="11"/>
      <c r="L30" s="154"/>
      <c r="M30" s="154"/>
      <c r="N30" s="154"/>
      <c r="O30" s="154"/>
      <c r="P30" s="154"/>
      <c r="Q30" s="154"/>
      <c r="R30" s="154"/>
      <c r="S30" s="155"/>
      <c r="T30" s="42"/>
      <c r="U30" s="42"/>
      <c r="V30" s="51" t="s">
        <v>205</v>
      </c>
      <c r="W30" s="163"/>
      <c r="X30" s="61"/>
      <c r="Y30" s="164"/>
    </row>
    <row r="31" spans="2:25" ht="15">
      <c r="B31" s="43"/>
      <c r="C31" s="43"/>
      <c r="D31" s="43"/>
      <c r="E31" s="43"/>
      <c r="F31" s="43"/>
      <c r="G31" s="43"/>
      <c r="H31" s="43"/>
      <c r="I31" s="43"/>
      <c r="J31" s="331"/>
      <c r="K31" s="11"/>
      <c r="L31" s="69"/>
      <c r="M31" s="70"/>
      <c r="N31" s="69"/>
      <c r="O31" s="72"/>
      <c r="P31" s="72"/>
      <c r="Q31" s="72"/>
      <c r="R31" s="154"/>
      <c r="S31" s="155"/>
      <c r="T31" s="42"/>
      <c r="U31" s="42"/>
      <c r="V31" s="172"/>
      <c r="W31" s="154"/>
      <c r="X31" s="154"/>
      <c r="Y31" s="155"/>
    </row>
    <row r="32" spans="2:25" ht="15">
      <c r="B32" s="42" t="s">
        <v>425</v>
      </c>
      <c r="C32" s="245"/>
      <c r="D32" s="245"/>
      <c r="E32" s="244"/>
      <c r="F32" s="244"/>
      <c r="G32" s="244"/>
      <c r="H32" s="244"/>
      <c r="J32" s="331"/>
      <c r="K32" s="11"/>
      <c r="L32" s="69"/>
      <c r="M32" s="71"/>
      <c r="N32" s="69"/>
      <c r="O32" s="72"/>
      <c r="P32" s="72"/>
      <c r="Q32" s="72"/>
      <c r="R32" s="154"/>
      <c r="S32" s="155"/>
      <c r="T32" s="42"/>
      <c r="U32" s="42"/>
      <c r="V32" s="55" t="s">
        <v>304</v>
      </c>
      <c r="W32" s="73" t="e">
        <f>+W17*W21*W23</f>
        <v>#REF!</v>
      </c>
      <c r="X32" s="54" t="s">
        <v>305</v>
      </c>
      <c r="Y32" s="164"/>
    </row>
    <row r="33" spans="2:25" ht="15">
      <c r="B33" s="42" t="s">
        <v>426</v>
      </c>
      <c r="C33" s="245"/>
      <c r="D33" s="245"/>
      <c r="E33" s="244"/>
      <c r="F33" s="244"/>
      <c r="G33" s="244"/>
      <c r="H33" s="244"/>
      <c r="J33" s="331"/>
      <c r="K33" s="11"/>
      <c r="L33" s="72"/>
      <c r="M33" s="72"/>
      <c r="N33" s="72"/>
      <c r="O33" s="72"/>
      <c r="P33" s="72"/>
      <c r="Q33" s="72"/>
      <c r="R33" s="154"/>
      <c r="S33" s="155"/>
      <c r="T33" s="42"/>
      <c r="U33" s="42"/>
      <c r="V33" s="172"/>
      <c r="W33" s="154"/>
      <c r="X33" s="154"/>
      <c r="Y33" s="155"/>
    </row>
    <row r="34" spans="2:25" ht="13.5">
      <c r="B34" s="42" t="s">
        <v>294</v>
      </c>
      <c r="C34" s="245"/>
      <c r="D34" s="245"/>
      <c r="E34" s="244"/>
      <c r="F34" s="244"/>
      <c r="G34" s="244"/>
      <c r="H34" s="244"/>
      <c r="J34" s="333"/>
      <c r="K34" s="11"/>
      <c r="L34" s="69"/>
      <c r="M34" s="72"/>
      <c r="N34" s="72"/>
      <c r="O34" s="72"/>
      <c r="P34" s="72"/>
      <c r="Q34" s="72"/>
      <c r="R34" s="154"/>
      <c r="S34" s="155"/>
      <c r="T34" s="42"/>
      <c r="U34" s="42"/>
      <c r="V34" s="55" t="s">
        <v>306</v>
      </c>
      <c r="W34" s="74" t="e">
        <f>(W16)*(W20-W21)*W22</f>
        <v>#REF!</v>
      </c>
      <c r="X34" s="54" t="s">
        <v>296</v>
      </c>
      <c r="Y34" s="164"/>
    </row>
    <row r="35" spans="10:25" ht="13.5">
      <c r="J35" s="333"/>
      <c r="K35" s="11"/>
      <c r="L35" s="69"/>
      <c r="M35" s="72"/>
      <c r="N35" s="72"/>
      <c r="O35" s="72"/>
      <c r="P35" s="72"/>
      <c r="Q35" s="72"/>
      <c r="R35" s="154"/>
      <c r="S35" s="155"/>
      <c r="T35" s="42"/>
      <c r="U35" s="42"/>
      <c r="V35" s="173"/>
      <c r="W35" s="154"/>
      <c r="X35" s="154"/>
      <c r="Y35" s="155"/>
    </row>
    <row r="36" spans="10:25" ht="13.5">
      <c r="J36" s="333"/>
      <c r="K36" s="11"/>
      <c r="L36" s="69"/>
      <c r="M36" s="71"/>
      <c r="N36" s="69"/>
      <c r="O36" s="72"/>
      <c r="P36" s="72"/>
      <c r="Q36" s="72"/>
      <c r="R36" s="154"/>
      <c r="S36" s="155"/>
      <c r="T36" s="42"/>
      <c r="U36" s="42"/>
      <c r="V36" s="55" t="s">
        <v>298</v>
      </c>
      <c r="W36" s="79" t="e">
        <f>IF(W19&gt;=W18,W17*W21*W23,0)-W34</f>
        <v>#REF!</v>
      </c>
      <c r="X36" s="54" t="s">
        <v>299</v>
      </c>
      <c r="Y36" s="164"/>
    </row>
    <row r="37" spans="10:25" ht="13.5">
      <c r="J37" s="333"/>
      <c r="K37" s="11"/>
      <c r="L37" s="69"/>
      <c r="M37" s="72"/>
      <c r="N37" s="69"/>
      <c r="O37" s="72"/>
      <c r="P37" s="72"/>
      <c r="Q37" s="72"/>
      <c r="R37" s="154"/>
      <c r="S37" s="155"/>
      <c r="T37" s="24"/>
      <c r="U37" s="24"/>
      <c r="V37" s="169"/>
      <c r="W37" s="163"/>
      <c r="X37" s="54" t="s">
        <v>307</v>
      </c>
      <c r="Y37" s="164"/>
    </row>
    <row r="38" spans="10:25" ht="13.5">
      <c r="J38" s="333"/>
      <c r="K38" s="11"/>
      <c r="L38" s="69"/>
      <c r="M38" s="72"/>
      <c r="N38" s="69"/>
      <c r="O38" s="72"/>
      <c r="P38" s="72"/>
      <c r="Q38" s="72"/>
      <c r="R38" s="154"/>
      <c r="S38" s="155"/>
      <c r="T38" s="24"/>
      <c r="U38" s="24"/>
      <c r="V38" s="169"/>
      <c r="W38" s="163"/>
      <c r="X38" s="54"/>
      <c r="Y38" s="164"/>
    </row>
    <row r="39" spans="10:25" ht="13.5">
      <c r="J39" s="333"/>
      <c r="K39" s="11"/>
      <c r="L39" s="69"/>
      <c r="M39" s="72"/>
      <c r="N39" s="69"/>
      <c r="O39" s="72"/>
      <c r="P39" s="72"/>
      <c r="Q39" s="72"/>
      <c r="R39" s="154"/>
      <c r="S39" s="155"/>
      <c r="T39" s="24"/>
      <c r="U39" s="24"/>
      <c r="V39" s="169"/>
      <c r="W39" s="163"/>
      <c r="X39" s="54"/>
      <c r="Y39" s="164"/>
    </row>
    <row r="40" spans="10:25" ht="13.5" hidden="1">
      <c r="J40" s="333"/>
      <c r="K40" s="11"/>
      <c r="L40" s="69"/>
      <c r="M40" s="72"/>
      <c r="N40" s="69"/>
      <c r="O40" s="72"/>
      <c r="P40" s="72"/>
      <c r="Q40" s="72"/>
      <c r="R40" s="154"/>
      <c r="S40" s="155"/>
      <c r="T40" s="24"/>
      <c r="U40" s="24"/>
      <c r="V40" s="169"/>
      <c r="W40" s="163"/>
      <c r="X40" s="54"/>
      <c r="Y40" s="164"/>
    </row>
    <row r="41" spans="10:25" ht="13.5" hidden="1">
      <c r="J41" s="333"/>
      <c r="K41" s="11"/>
      <c r="L41" s="69"/>
      <c r="M41" s="72"/>
      <c r="N41" s="69"/>
      <c r="O41" s="72"/>
      <c r="P41" s="72"/>
      <c r="Q41" s="72"/>
      <c r="R41" s="154"/>
      <c r="S41" s="155"/>
      <c r="T41" s="24"/>
      <c r="U41" s="24"/>
      <c r="V41" s="169"/>
      <c r="W41" s="163"/>
      <c r="X41" s="54"/>
      <c r="Y41" s="164"/>
    </row>
    <row r="42" spans="1:25" ht="13.5" hidden="1">
      <c r="A42" s="75" t="s">
        <v>297</v>
      </c>
      <c r="F42" s="22"/>
      <c r="G42" s="22"/>
      <c r="H42" s="43"/>
      <c r="I42" s="43"/>
      <c r="J42" s="331"/>
      <c r="K42" s="11"/>
      <c r="L42" s="76"/>
      <c r="M42" s="78"/>
      <c r="N42" s="78"/>
      <c r="O42" s="78"/>
      <c r="P42" s="78"/>
      <c r="Q42" s="78"/>
      <c r="R42" s="24"/>
      <c r="S42" s="174"/>
      <c r="T42" s="24"/>
      <c r="U42" s="24"/>
      <c r="V42" s="55" t="s">
        <v>216</v>
      </c>
      <c r="W42" s="74" t="e">
        <f>W36*W24</f>
        <v>#REF!</v>
      </c>
      <c r="X42" s="54" t="s">
        <v>217</v>
      </c>
      <c r="Y42" s="164"/>
    </row>
    <row r="43" spans="2:25" ht="15.75" hidden="1" thickBot="1">
      <c r="B43" s="80" t="s">
        <v>300</v>
      </c>
      <c r="C43" s="80"/>
      <c r="D43" s="80"/>
      <c r="F43" s="22"/>
      <c r="G43" s="22"/>
      <c r="H43" s="43"/>
      <c r="I43" s="43"/>
      <c r="J43" s="331"/>
      <c r="K43" s="23"/>
      <c r="L43" s="81"/>
      <c r="M43" s="82"/>
      <c r="N43" s="81"/>
      <c r="O43" s="175"/>
      <c r="P43" s="175"/>
      <c r="Q43" s="175"/>
      <c r="R43" s="176"/>
      <c r="S43" s="177"/>
      <c r="T43" s="24"/>
      <c r="U43" s="24"/>
      <c r="V43" s="169"/>
      <c r="W43" s="163"/>
      <c r="X43" s="54" t="s">
        <v>219</v>
      </c>
      <c r="Y43" s="164"/>
    </row>
    <row r="44" spans="2:25" ht="15" hidden="1">
      <c r="B44" s="80" t="s">
        <v>227</v>
      </c>
      <c r="C44" s="80"/>
      <c r="D44" s="80"/>
      <c r="F44" s="21"/>
      <c r="G44" s="21"/>
      <c r="J44" s="331"/>
      <c r="L44" s="76"/>
      <c r="M44" s="83"/>
      <c r="N44" s="76"/>
      <c r="O44" s="78"/>
      <c r="P44" s="78"/>
      <c r="Q44" s="78"/>
      <c r="R44" s="24"/>
      <c r="S44" s="24"/>
      <c r="T44" s="24"/>
      <c r="U44" s="24"/>
      <c r="V44" s="55" t="s">
        <v>128</v>
      </c>
      <c r="W44" s="170" t="e">
        <f>IF(W19&lt;100,"No Rebate",IF(W19&lt;130,0.18*#REF!,IF(W19&lt;160,0.36*#REF!,IF(W19&lt;190,0.51*#REF!,IF(W19&lt;220,0.61*J25if(W19&lt;250,0.66*#REF!,IF(W19&lt;280,0.69*#REF!,0.7*#REF!)))))))</f>
        <v>#REF!</v>
      </c>
      <c r="X44" s="54" t="s">
        <v>221</v>
      </c>
      <c r="Y44" s="164"/>
    </row>
    <row r="45" spans="2:25" ht="15" hidden="1">
      <c r="B45" s="80" t="s">
        <v>218</v>
      </c>
      <c r="C45" s="80"/>
      <c r="D45" s="80"/>
      <c r="F45" s="21"/>
      <c r="G45" s="21"/>
      <c r="J45" s="331"/>
      <c r="L45" s="78"/>
      <c r="M45" s="78"/>
      <c r="N45" s="76"/>
      <c r="O45" s="78"/>
      <c r="P45" s="78"/>
      <c r="Q45" s="78"/>
      <c r="R45" s="24"/>
      <c r="S45" s="24"/>
      <c r="T45" s="24"/>
      <c r="U45" s="24"/>
      <c r="V45" s="169"/>
      <c r="W45" s="163"/>
      <c r="X45" s="54"/>
      <c r="Y45" s="164"/>
    </row>
    <row r="46" spans="2:25" ht="15" hidden="1">
      <c r="B46" s="80" t="s">
        <v>220</v>
      </c>
      <c r="C46" s="80"/>
      <c r="D46" s="80"/>
      <c r="F46" s="21"/>
      <c r="G46" s="21"/>
      <c r="J46" s="331"/>
      <c r="L46" s="76"/>
      <c r="M46" s="84"/>
      <c r="N46" s="76"/>
      <c r="O46" s="78"/>
      <c r="P46" s="78"/>
      <c r="Q46" s="78"/>
      <c r="R46" s="24"/>
      <c r="S46" s="24"/>
      <c r="T46" s="24"/>
      <c r="U46" s="24"/>
      <c r="V46" s="55" t="s">
        <v>222</v>
      </c>
      <c r="W46" s="85" t="e">
        <f>+W42-W44</f>
        <v>#REF!</v>
      </c>
      <c r="X46" s="54" t="s">
        <v>223</v>
      </c>
      <c r="Y46" s="164"/>
    </row>
    <row r="47" spans="1:25" ht="15" hidden="1">
      <c r="A47" s="21"/>
      <c r="B47" s="80" t="s">
        <v>198</v>
      </c>
      <c r="C47" s="80"/>
      <c r="D47" s="80"/>
      <c r="F47" s="21"/>
      <c r="G47" s="21"/>
      <c r="J47" s="24"/>
      <c r="L47" s="78"/>
      <c r="M47" s="78"/>
      <c r="N47" s="76"/>
      <c r="O47" s="78"/>
      <c r="P47" s="78"/>
      <c r="Q47" s="78"/>
      <c r="R47" s="24"/>
      <c r="S47" s="24"/>
      <c r="T47" s="24"/>
      <c r="U47" s="24"/>
      <c r="V47" s="169"/>
      <c r="W47" s="163"/>
      <c r="X47" s="54" t="s">
        <v>224</v>
      </c>
      <c r="Y47" s="56" t="s">
        <v>228</v>
      </c>
    </row>
    <row r="48" spans="1:25" ht="15" hidden="1">
      <c r="A48" s="21"/>
      <c r="B48" s="80" t="s">
        <v>199</v>
      </c>
      <c r="C48" s="80"/>
      <c r="D48" s="80"/>
      <c r="E48" s="25"/>
      <c r="F48" s="21"/>
      <c r="G48" s="21"/>
      <c r="J48" s="24"/>
      <c r="L48" s="76"/>
      <c r="M48" s="84"/>
      <c r="N48" s="76"/>
      <c r="O48" s="78"/>
      <c r="P48" s="78"/>
      <c r="Q48" s="78"/>
      <c r="R48" s="24"/>
      <c r="S48" s="24"/>
      <c r="T48" s="24"/>
      <c r="U48" s="24"/>
      <c r="V48" s="55" t="s">
        <v>225</v>
      </c>
      <c r="W48" s="73" t="e">
        <f>+W36-W46</f>
        <v>#REF!</v>
      </c>
      <c r="X48" s="54" t="s">
        <v>233</v>
      </c>
      <c r="Y48" s="164"/>
    </row>
    <row r="49" spans="1:25" ht="13.5" hidden="1">
      <c r="A49" s="21"/>
      <c r="F49" s="21"/>
      <c r="G49" s="21"/>
      <c r="J49" s="24"/>
      <c r="L49" s="78"/>
      <c r="M49" s="78"/>
      <c r="N49" s="76"/>
      <c r="O49" s="78"/>
      <c r="P49" s="76"/>
      <c r="Q49" s="78"/>
      <c r="R49" s="24"/>
      <c r="S49" s="24"/>
      <c r="T49" s="24"/>
      <c r="U49" s="24"/>
      <c r="V49" s="55" t="s">
        <v>237</v>
      </c>
      <c r="W49" s="163"/>
      <c r="X49" s="163"/>
      <c r="Y49" s="164"/>
    </row>
    <row r="50" spans="1:25" ht="12.75" hidden="1">
      <c r="A50" s="26" t="s">
        <v>155</v>
      </c>
      <c r="F50" s="21"/>
      <c r="G50" s="21"/>
      <c r="J50" s="24"/>
      <c r="L50" s="24"/>
      <c r="M50" s="24"/>
      <c r="N50" s="24"/>
      <c r="O50" s="24"/>
      <c r="P50" s="24"/>
      <c r="Q50" s="24"/>
      <c r="R50" s="24"/>
      <c r="S50" s="24"/>
      <c r="T50" s="24"/>
      <c r="U50" s="24"/>
      <c r="V50" s="172"/>
      <c r="W50" s="154"/>
      <c r="X50" s="154"/>
      <c r="Y50" s="155"/>
    </row>
    <row r="51" spans="1:25" ht="13.5" hidden="1">
      <c r="A51" s="21"/>
      <c r="B51" s="75" t="s">
        <v>236</v>
      </c>
      <c r="C51" s="75"/>
      <c r="D51" s="75"/>
      <c r="E51" s="27"/>
      <c r="F51" s="21"/>
      <c r="G51" s="21"/>
      <c r="J51" s="24"/>
      <c r="L51" s="42"/>
      <c r="M51" s="42"/>
      <c r="N51" s="42"/>
      <c r="O51" s="42"/>
      <c r="P51" s="42"/>
      <c r="Q51" s="42"/>
      <c r="R51" s="42"/>
      <c r="S51" s="42"/>
      <c r="T51" s="42"/>
      <c r="U51" s="42"/>
      <c r="V51" s="29" t="s">
        <v>239</v>
      </c>
      <c r="W51" s="30">
        <f>+I28</f>
        <v>49755.6775</v>
      </c>
      <c r="X51" s="31" t="s">
        <v>240</v>
      </c>
      <c r="Y51" s="155"/>
    </row>
    <row r="52" spans="1:25" ht="13.5" hidden="1">
      <c r="A52" s="21"/>
      <c r="B52" s="21"/>
      <c r="C52" s="21"/>
      <c r="D52" s="21"/>
      <c r="E52" s="28"/>
      <c r="F52" s="21"/>
      <c r="G52" s="21"/>
      <c r="J52" s="24"/>
      <c r="L52" s="42"/>
      <c r="M52" s="42"/>
      <c r="N52" s="42"/>
      <c r="O52" s="42"/>
      <c r="P52" s="42"/>
      <c r="Q52" s="42"/>
      <c r="R52" s="42"/>
      <c r="S52" s="42"/>
      <c r="T52" s="42"/>
      <c r="U52" s="42"/>
      <c r="V52" s="29" t="s">
        <v>287</v>
      </c>
      <c r="W52" s="30">
        <v>10000</v>
      </c>
      <c r="X52" s="31" t="s">
        <v>288</v>
      </c>
      <c r="Y52" s="155"/>
    </row>
    <row r="53" spans="1:25" ht="13.5" hidden="1">
      <c r="A53" s="10" t="s">
        <v>238</v>
      </c>
      <c r="E53" s="28"/>
      <c r="F53" s="21"/>
      <c r="G53" s="21"/>
      <c r="H53" s="21"/>
      <c r="I53" s="21"/>
      <c r="J53" s="24"/>
      <c r="L53" s="42"/>
      <c r="M53" s="42"/>
      <c r="N53" s="42"/>
      <c r="O53" s="42"/>
      <c r="P53" s="42"/>
      <c r="Q53" s="42"/>
      <c r="R53" s="42"/>
      <c r="S53" s="42"/>
      <c r="T53" s="42"/>
      <c r="U53" s="42"/>
      <c r="V53" s="29" t="s">
        <v>175</v>
      </c>
      <c r="W53" s="33">
        <f>+W51-W52</f>
        <v>39755.6775</v>
      </c>
      <c r="X53" s="31" t="s">
        <v>230</v>
      </c>
      <c r="Y53" s="155"/>
    </row>
    <row r="54" spans="1:25" ht="15" hidden="1">
      <c r="A54" s="21"/>
      <c r="B54" s="86"/>
      <c r="C54" s="86"/>
      <c r="D54" s="86"/>
      <c r="E54" s="77"/>
      <c r="F54" s="77"/>
      <c r="G54" s="77"/>
      <c r="H54" s="77"/>
      <c r="I54" s="77"/>
      <c r="J54" s="334"/>
      <c r="L54" s="42"/>
      <c r="M54" s="178"/>
      <c r="N54" s="42"/>
      <c r="O54" s="42"/>
      <c r="P54" s="42"/>
      <c r="Q54" s="42"/>
      <c r="R54" s="42"/>
      <c r="S54" s="42"/>
      <c r="T54" s="42"/>
      <c r="U54" s="42"/>
      <c r="V54" s="172"/>
      <c r="W54" s="154"/>
      <c r="X54" s="154"/>
      <c r="Y54" s="155"/>
    </row>
    <row r="55" spans="1:25" ht="15" hidden="1">
      <c r="A55" s="21"/>
      <c r="B55" s="86" t="s">
        <v>174</v>
      </c>
      <c r="C55" s="86"/>
      <c r="D55" s="86"/>
      <c r="E55" s="87"/>
      <c r="F55" s="76"/>
      <c r="G55" s="32"/>
      <c r="H55" s="77"/>
      <c r="I55" s="77"/>
      <c r="J55" s="334"/>
      <c r="L55" s="42"/>
      <c r="M55" s="42"/>
      <c r="N55" s="42"/>
      <c r="O55" s="42"/>
      <c r="P55" s="42"/>
      <c r="Q55" s="42"/>
      <c r="R55" s="42"/>
      <c r="S55" s="42"/>
      <c r="T55" s="42"/>
      <c r="U55" s="42"/>
      <c r="V55" s="34" t="s">
        <v>292</v>
      </c>
      <c r="W55" s="35" t="e">
        <f>+W48-W53</f>
        <v>#REF!</v>
      </c>
      <c r="X55" s="36"/>
      <c r="Y55" s="37"/>
    </row>
    <row r="56" spans="1:25" ht="15.75" hidden="1" thickBot="1">
      <c r="A56" s="21"/>
      <c r="B56" s="88" t="s">
        <v>241</v>
      </c>
      <c r="C56" s="88"/>
      <c r="D56" s="88"/>
      <c r="E56" s="89"/>
      <c r="J56" s="334"/>
      <c r="L56" s="42"/>
      <c r="M56" s="42"/>
      <c r="N56" s="42"/>
      <c r="O56" s="42"/>
      <c r="P56" s="42"/>
      <c r="Q56" s="42"/>
      <c r="R56" s="42"/>
      <c r="S56" s="42"/>
      <c r="T56" s="42"/>
      <c r="U56" s="42"/>
      <c r="V56" s="179"/>
      <c r="W56" s="180"/>
      <c r="X56" s="180"/>
      <c r="Y56" s="181"/>
    </row>
    <row r="57" spans="1:10" ht="15" hidden="1">
      <c r="A57" s="21"/>
      <c r="B57" s="90" t="s">
        <v>291</v>
      </c>
      <c r="C57" s="90"/>
      <c r="D57" s="90"/>
      <c r="E57" s="89"/>
      <c r="J57" s="334"/>
    </row>
    <row r="58" spans="1:10" ht="15" hidden="1">
      <c r="A58" s="21"/>
      <c r="B58" s="90" t="s">
        <v>243</v>
      </c>
      <c r="C58" s="90"/>
      <c r="D58" s="90"/>
      <c r="E58" s="89"/>
      <c r="J58" s="24"/>
    </row>
    <row r="59" spans="1:10" ht="15" hidden="1">
      <c r="A59" s="21"/>
      <c r="B59" s="91" t="s">
        <v>234</v>
      </c>
      <c r="C59" s="91"/>
      <c r="D59" s="91"/>
      <c r="J59" s="24"/>
    </row>
    <row r="60" spans="1:10" ht="12.75" hidden="1">
      <c r="A60" s="21"/>
      <c r="J60" s="24"/>
    </row>
    <row r="61" spans="1:10" ht="12.75" hidden="1">
      <c r="A61" s="21"/>
      <c r="B61" s="86" t="s">
        <v>235</v>
      </c>
      <c r="C61" s="86"/>
      <c r="D61" s="86"/>
      <c r="J61" s="24"/>
    </row>
    <row r="62" spans="1:10" ht="15" hidden="1">
      <c r="A62" s="21"/>
      <c r="B62" s="92" t="s">
        <v>156</v>
      </c>
      <c r="C62" s="92"/>
      <c r="D62" s="92"/>
      <c r="J62" s="21"/>
    </row>
    <row r="63" spans="1:10" ht="15" hidden="1">
      <c r="A63" s="21"/>
      <c r="B63" s="91" t="s">
        <v>249</v>
      </c>
      <c r="C63" s="91"/>
      <c r="D63" s="91"/>
      <c r="J63" s="21"/>
    </row>
    <row r="64" spans="1:10" ht="12.75" hidden="1">
      <c r="A64" s="21"/>
      <c r="J64" s="21"/>
    </row>
    <row r="65" spans="1:10" ht="12.75" hidden="1">
      <c r="A65" s="21"/>
      <c r="B65" s="10" t="s">
        <v>250</v>
      </c>
      <c r="C65" s="10"/>
      <c r="D65" s="10"/>
      <c r="J65" s="21"/>
    </row>
    <row r="66" spans="1:10" ht="15" hidden="1">
      <c r="A66" s="21"/>
      <c r="B66" s="93" t="s">
        <v>251</v>
      </c>
      <c r="C66" s="93"/>
      <c r="D66" s="93"/>
      <c r="J66" s="21"/>
    </row>
    <row r="67" spans="1:10" ht="15" hidden="1">
      <c r="A67" s="21"/>
      <c r="B67" s="93" t="s">
        <v>261</v>
      </c>
      <c r="C67" s="93"/>
      <c r="D67" s="93"/>
      <c r="J67" s="21"/>
    </row>
    <row r="68" spans="1:10" ht="15" hidden="1">
      <c r="A68" s="21"/>
      <c r="B68" s="93" t="s">
        <v>262</v>
      </c>
      <c r="C68" s="93"/>
      <c r="D68" s="93"/>
      <c r="J68" s="21"/>
    </row>
    <row r="69" spans="1:10" ht="15" hidden="1">
      <c r="A69" s="21"/>
      <c r="B69" s="91" t="s">
        <v>194</v>
      </c>
      <c r="C69" s="91"/>
      <c r="D69" s="91"/>
      <c r="J69" s="21"/>
    </row>
    <row r="70" ht="12.75" hidden="1"/>
    <row r="71" spans="2:4" ht="12.75" hidden="1">
      <c r="B71" s="86" t="s">
        <v>267</v>
      </c>
      <c r="C71" s="86"/>
      <c r="D71" s="86"/>
    </row>
    <row r="72" spans="2:4" ht="15" hidden="1">
      <c r="B72" s="94" t="s">
        <v>206</v>
      </c>
      <c r="C72" s="94"/>
      <c r="D72" s="94"/>
    </row>
    <row r="73" spans="2:4" ht="15" hidden="1">
      <c r="B73" s="94" t="s">
        <v>207</v>
      </c>
      <c r="C73" s="94"/>
      <c r="D73" s="94"/>
    </row>
    <row r="74" spans="2:4" ht="15" hidden="1">
      <c r="B74" s="91" t="s">
        <v>234</v>
      </c>
      <c r="C74" s="91"/>
      <c r="D74" s="91"/>
    </row>
    <row r="75" ht="12.75" hidden="1"/>
    <row r="76" spans="2:4" ht="12.75" hidden="1">
      <c r="B76" s="86" t="s">
        <v>208</v>
      </c>
      <c r="C76" s="86"/>
      <c r="D76" s="86"/>
    </row>
    <row r="77" spans="2:4" ht="15" hidden="1">
      <c r="B77" s="95" t="s">
        <v>209</v>
      </c>
      <c r="C77" s="95"/>
      <c r="D77" s="95"/>
    </row>
    <row r="78" spans="2:9" ht="15" hidden="1">
      <c r="B78" s="95" t="s">
        <v>295</v>
      </c>
      <c r="C78" s="95"/>
      <c r="D78" s="95"/>
      <c r="E78" s="96"/>
      <c r="F78" s="76"/>
      <c r="G78" s="76"/>
      <c r="H78" s="77"/>
      <c r="I78" s="77"/>
    </row>
    <row r="79" spans="2:9" ht="15" hidden="1">
      <c r="B79" s="91" t="s">
        <v>194</v>
      </c>
      <c r="C79" s="91"/>
      <c r="D79" s="91"/>
      <c r="E79" s="97"/>
      <c r="F79" s="76"/>
      <c r="G79" s="77"/>
      <c r="H79" s="77"/>
      <c r="I79" s="77"/>
    </row>
    <row r="80" spans="2:9" ht="13.5" hidden="1">
      <c r="B80" s="86"/>
      <c r="C80" s="86"/>
      <c r="D80" s="86"/>
      <c r="E80" s="97"/>
      <c r="F80" s="76"/>
      <c r="G80" s="77"/>
      <c r="H80" s="77"/>
      <c r="I80" s="77"/>
    </row>
    <row r="81" spans="2:9" ht="13.5" hidden="1">
      <c r="B81" s="10" t="s">
        <v>210</v>
      </c>
      <c r="C81" s="10"/>
      <c r="D81" s="10"/>
      <c r="E81" s="77"/>
      <c r="F81" s="78"/>
      <c r="G81" s="77"/>
      <c r="H81" s="77"/>
      <c r="I81" s="77"/>
    </row>
    <row r="82" spans="2:9" ht="15" hidden="1">
      <c r="B82" s="98" t="s">
        <v>211</v>
      </c>
      <c r="C82" s="98"/>
      <c r="D82" s="98"/>
      <c r="E82" s="77"/>
      <c r="F82" s="78"/>
      <c r="G82" s="77"/>
      <c r="H82" s="77"/>
      <c r="I82" s="77"/>
    </row>
    <row r="83" spans="2:9" ht="15" hidden="1">
      <c r="B83" s="98" t="s">
        <v>212</v>
      </c>
      <c r="C83" s="98"/>
      <c r="D83" s="98"/>
      <c r="E83" s="77"/>
      <c r="F83" s="78"/>
      <c r="G83" s="77"/>
      <c r="H83" s="77"/>
      <c r="I83" s="77"/>
    </row>
    <row r="84" spans="2:9" ht="15" hidden="1">
      <c r="B84" s="91" t="s">
        <v>194</v>
      </c>
      <c r="C84" s="91"/>
      <c r="D84" s="91"/>
      <c r="E84" s="97"/>
      <c r="F84" s="76"/>
      <c r="G84" s="77"/>
      <c r="H84" s="77"/>
      <c r="I84" s="77"/>
    </row>
    <row r="85" spans="5:9" ht="13.5" hidden="1">
      <c r="E85" s="77"/>
      <c r="F85" s="76"/>
      <c r="G85" s="77"/>
      <c r="H85" s="77"/>
      <c r="I85" s="77"/>
    </row>
    <row r="86" spans="2:9" ht="13.5" hidden="1">
      <c r="B86" s="86" t="s">
        <v>213</v>
      </c>
      <c r="C86" s="86"/>
      <c r="D86" s="86"/>
      <c r="E86" s="77"/>
      <c r="F86" s="78"/>
      <c r="G86" s="77"/>
      <c r="H86" s="77"/>
      <c r="I86" s="77"/>
    </row>
    <row r="87" spans="2:9" ht="15" hidden="1">
      <c r="B87" s="99" t="s">
        <v>301</v>
      </c>
      <c r="C87" s="99"/>
      <c r="D87" s="99"/>
      <c r="E87" s="100"/>
      <c r="F87" s="76"/>
      <c r="G87" s="77"/>
      <c r="H87" s="77"/>
      <c r="I87" s="77"/>
    </row>
    <row r="88" spans="2:9" ht="15" hidden="1">
      <c r="B88" s="99" t="s">
        <v>302</v>
      </c>
      <c r="C88" s="99"/>
      <c r="D88" s="99"/>
      <c r="E88" s="77"/>
      <c r="F88" s="76"/>
      <c r="G88" s="77"/>
      <c r="H88" s="77"/>
      <c r="I88" s="77"/>
    </row>
    <row r="89" spans="2:9" ht="15" hidden="1">
      <c r="B89" s="99" t="s">
        <v>214</v>
      </c>
      <c r="C89" s="99"/>
      <c r="D89" s="99"/>
      <c r="E89" s="83"/>
      <c r="F89" s="76"/>
      <c r="G89" s="77"/>
      <c r="H89" s="77"/>
      <c r="I89" s="77"/>
    </row>
    <row r="90" spans="2:9" ht="15" hidden="1">
      <c r="B90" s="99" t="s">
        <v>215</v>
      </c>
      <c r="C90" s="99"/>
      <c r="D90" s="99"/>
      <c r="E90" s="77"/>
      <c r="F90" s="76"/>
      <c r="G90" s="77"/>
      <c r="H90" s="77"/>
      <c r="I90" s="77"/>
    </row>
    <row r="91" spans="2:9" ht="15" hidden="1">
      <c r="B91" s="99" t="s">
        <v>226</v>
      </c>
      <c r="C91" s="99"/>
      <c r="D91" s="99"/>
      <c r="E91" s="84"/>
      <c r="F91" s="76"/>
      <c r="G91" s="77"/>
      <c r="H91" s="77"/>
      <c r="I91" s="77"/>
    </row>
    <row r="92" spans="2:9" ht="15" hidden="1">
      <c r="B92" s="91"/>
      <c r="C92" s="91"/>
      <c r="D92" s="91"/>
      <c r="E92" s="77"/>
      <c r="F92" s="76"/>
      <c r="G92" s="77"/>
      <c r="H92" s="77"/>
      <c r="I92" s="77"/>
    </row>
    <row r="93" spans="2:9" ht="13.5" hidden="1">
      <c r="B93" s="10" t="s">
        <v>273</v>
      </c>
      <c r="C93" s="10"/>
      <c r="D93" s="10"/>
      <c r="E93" s="84"/>
      <c r="F93" s="76"/>
      <c r="G93" s="77"/>
      <c r="H93" s="77"/>
      <c r="I93" s="77"/>
    </row>
    <row r="94" spans="2:9" ht="13.5" hidden="1">
      <c r="B94" s="101" t="s">
        <v>182</v>
      </c>
      <c r="C94" s="101"/>
      <c r="D94" s="101"/>
      <c r="E94" s="77"/>
      <c r="F94" s="76"/>
      <c r="G94" s="77"/>
      <c r="H94" s="76"/>
      <c r="I94" s="77"/>
    </row>
    <row r="95" spans="5:9" ht="13.5" hidden="1">
      <c r="E95" s="77"/>
      <c r="F95" s="77"/>
      <c r="G95" s="77"/>
      <c r="H95" s="77"/>
      <c r="I95" s="77"/>
    </row>
    <row r="96" spans="2:4" ht="12.75" hidden="1">
      <c r="B96" s="102" t="s">
        <v>183</v>
      </c>
      <c r="C96" s="102"/>
      <c r="D96" s="102"/>
    </row>
    <row r="97" spans="2:4" ht="15" hidden="1">
      <c r="B97" s="103" t="s">
        <v>184</v>
      </c>
      <c r="C97" s="103"/>
      <c r="D97" s="103"/>
    </row>
    <row r="98" spans="2:4" ht="15" hidden="1">
      <c r="B98" s="103" t="s">
        <v>185</v>
      </c>
      <c r="C98" s="103"/>
      <c r="D98" s="103"/>
    </row>
    <row r="99" spans="2:4" ht="15" hidden="1">
      <c r="B99" s="103" t="s">
        <v>186</v>
      </c>
      <c r="C99" s="103"/>
      <c r="D99" s="103"/>
    </row>
    <row r="100" spans="2:4" ht="15" hidden="1">
      <c r="B100" s="91" t="s">
        <v>194</v>
      </c>
      <c r="C100" s="91"/>
      <c r="D100" s="91"/>
    </row>
    <row r="101" ht="12.75" hidden="1"/>
    <row r="102" spans="2:4" ht="12.75" hidden="1">
      <c r="B102" s="102" t="s">
        <v>187</v>
      </c>
      <c r="C102" s="102"/>
      <c r="D102" s="102"/>
    </row>
    <row r="103" spans="2:4" ht="15" hidden="1">
      <c r="B103" s="104" t="s">
        <v>188</v>
      </c>
      <c r="C103" s="104"/>
      <c r="D103" s="104"/>
    </row>
    <row r="104" spans="2:9" ht="15" hidden="1">
      <c r="B104" s="104" t="s">
        <v>188</v>
      </c>
      <c r="C104" s="104"/>
      <c r="D104" s="104"/>
      <c r="E104" s="21"/>
      <c r="F104" s="21"/>
      <c r="G104" s="21"/>
      <c r="H104" s="21"/>
      <c r="I104" s="21"/>
    </row>
    <row r="105" spans="2:4" ht="15" hidden="1">
      <c r="B105" s="104" t="s">
        <v>189</v>
      </c>
      <c r="C105" s="104"/>
      <c r="D105" s="104"/>
    </row>
    <row r="106" spans="2:4" ht="15" hidden="1">
      <c r="B106" s="104" t="s">
        <v>190</v>
      </c>
      <c r="C106" s="104"/>
      <c r="D106" s="104"/>
    </row>
    <row r="107" ht="12.75" hidden="1"/>
    <row r="108" spans="2:4" ht="12.75" hidden="1">
      <c r="B108" s="102" t="s">
        <v>191</v>
      </c>
      <c r="C108" s="102"/>
      <c r="D108" s="102"/>
    </row>
    <row r="109" spans="2:4" ht="15" hidden="1">
      <c r="B109" s="105" t="s">
        <v>153</v>
      </c>
      <c r="C109" s="105"/>
      <c r="D109" s="105"/>
    </row>
    <row r="110" spans="2:4" ht="15" hidden="1">
      <c r="B110" s="106" t="s">
        <v>154</v>
      </c>
      <c r="C110" s="106"/>
      <c r="D110" s="106"/>
    </row>
    <row r="111" spans="2:4" ht="15" hidden="1">
      <c r="B111" s="91" t="s">
        <v>195</v>
      </c>
      <c r="C111" s="91"/>
      <c r="D111" s="91"/>
    </row>
  </sheetData>
  <sheetProtection password="F03D" sheet="1" objects="1" scenarios="1"/>
  <mergeCells count="1">
    <mergeCell ref="B30:I30"/>
  </mergeCells>
  <printOptions/>
  <pageMargins left="0.7" right="0.7" top="0.75" bottom="0.75" header="0.3" footer="0.3"/>
  <pageSetup fitToHeight="1" fitToWidth="1" horizontalDpi="600" verticalDpi="600" orientation="portrait"/>
  <headerFooter alignWithMargins="0">
    <oddHeader>&amp;R11/15/2012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Walsh</dc:creator>
  <cp:keywords/>
  <dc:description/>
  <cp:lastModifiedBy>Laura  Bain</cp:lastModifiedBy>
  <cp:lastPrinted>2012-11-15T18:48:55Z</cp:lastPrinted>
  <dcterms:created xsi:type="dcterms:W3CDTF">2010-06-29T14:10:02Z</dcterms:created>
  <dcterms:modified xsi:type="dcterms:W3CDTF">2012-11-19T19:42:50Z</dcterms:modified>
  <cp:category/>
  <cp:version/>
  <cp:contentType/>
  <cp:contentStatus/>
</cp:coreProperties>
</file>